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018A3C42-86DB-48ED-AB65-82B5CD8887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G124" i="1"/>
  <c r="H84" i="1"/>
  <c r="G34" i="1" l="1"/>
  <c r="H34" i="1" s="1"/>
  <c r="I34" i="1"/>
  <c r="I33" i="1" s="1"/>
  <c r="I25" i="1" s="1"/>
  <c r="F38" i="1"/>
  <c r="H24" i="1"/>
  <c r="H27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D273" i="1"/>
  <c r="I272" i="1"/>
  <c r="G272" i="1"/>
  <c r="H272" i="1" s="1"/>
  <c r="F272" i="1"/>
  <c r="I271" i="1"/>
  <c r="G271" i="1"/>
  <c r="H271" i="1" s="1"/>
  <c r="F271" i="1"/>
  <c r="I270" i="1"/>
  <c r="G270" i="1"/>
  <c r="F270" i="1"/>
  <c r="F268" i="1" s="1"/>
  <c r="I269" i="1"/>
  <c r="G269" i="1"/>
  <c r="G268" i="1" s="1"/>
  <c r="H268" i="1" s="1"/>
  <c r="F269" i="1"/>
  <c r="I268" i="1"/>
  <c r="I267" i="1"/>
  <c r="G267" i="1"/>
  <c r="H267" i="1" s="1"/>
  <c r="F267" i="1"/>
  <c r="I266" i="1"/>
  <c r="H266" i="1"/>
  <c r="G266" i="1"/>
  <c r="F266" i="1"/>
  <c r="I265" i="1"/>
  <c r="I262" i="1" s="1"/>
  <c r="I273" i="1" s="1"/>
  <c r="G265" i="1"/>
  <c r="G262" i="1" s="1"/>
  <c r="G273" i="1" s="1"/>
  <c r="F265" i="1"/>
  <c r="F262" i="1" s="1"/>
  <c r="I264" i="1"/>
  <c r="H264" i="1"/>
  <c r="G264" i="1"/>
  <c r="F264" i="1"/>
  <c r="I263" i="1"/>
  <c r="G263" i="1"/>
  <c r="H263" i="1" s="1"/>
  <c r="F263" i="1"/>
  <c r="E262" i="1"/>
  <c r="E273" i="1" s="1"/>
  <c r="D262" i="1"/>
  <c r="H254" i="1"/>
  <c r="F254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F241" i="1" s="1"/>
  <c r="E238" i="1"/>
  <c r="H237" i="1"/>
  <c r="H241" i="1" s="1"/>
  <c r="G237" i="1"/>
  <c r="F237" i="1"/>
  <c r="E237" i="1"/>
  <c r="E241" i="1" s="1"/>
  <c r="D219" i="1"/>
  <c r="H218" i="1"/>
  <c r="F218" i="1"/>
  <c r="G218" i="1" s="1"/>
  <c r="E218" i="1"/>
  <c r="H217" i="1"/>
  <c r="H215" i="1" s="1"/>
  <c r="H219" i="1" s="1"/>
  <c r="F217" i="1"/>
  <c r="E217" i="1"/>
  <c r="H216" i="1"/>
  <c r="F216" i="1"/>
  <c r="E216" i="1"/>
  <c r="F215" i="1"/>
  <c r="F219" i="1" s="1"/>
  <c r="G219" i="1" s="1"/>
  <c r="E215" i="1"/>
  <c r="E219" i="1" s="1"/>
  <c r="D206" i="1"/>
  <c r="H205" i="1"/>
  <c r="G205" i="1"/>
  <c r="F205" i="1"/>
  <c r="E205" i="1"/>
  <c r="H204" i="1"/>
  <c r="F204" i="1"/>
  <c r="F202" i="1" s="1"/>
  <c r="E204" i="1"/>
  <c r="H203" i="1"/>
  <c r="H202" i="1" s="1"/>
  <c r="H206" i="1" s="1"/>
  <c r="F203" i="1"/>
  <c r="E203" i="1"/>
  <c r="E202" i="1" s="1"/>
  <c r="E206" i="1" s="1"/>
  <c r="F192" i="1"/>
  <c r="E192" i="1"/>
  <c r="D192" i="1"/>
  <c r="I191" i="1"/>
  <c r="H191" i="1"/>
  <c r="G191" i="1"/>
  <c r="F191" i="1"/>
  <c r="I190" i="1"/>
  <c r="H190" i="1"/>
  <c r="G190" i="1"/>
  <c r="F190" i="1"/>
  <c r="I189" i="1"/>
  <c r="I192" i="1" s="1"/>
  <c r="H189" i="1"/>
  <c r="G189" i="1"/>
  <c r="G192" i="1" s="1"/>
  <c r="F189" i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/>
  <c r="H162" i="1"/>
  <c r="G162" i="1"/>
  <c r="F162" i="1"/>
  <c r="E162" i="1"/>
  <c r="E169" i="1" s="1"/>
  <c r="H161" i="1"/>
  <c r="F161" i="1"/>
  <c r="E161" i="1"/>
  <c r="H160" i="1"/>
  <c r="H169" i="1" s="1"/>
  <c r="F160" i="1"/>
  <c r="E160" i="1"/>
  <c r="E137" i="1"/>
  <c r="I135" i="1"/>
  <c r="G135" i="1"/>
  <c r="H135" i="1" s="1"/>
  <c r="F135" i="1"/>
  <c r="I134" i="1"/>
  <c r="G134" i="1"/>
  <c r="H134" i="1" s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H126" i="1" s="1"/>
  <c r="G127" i="1"/>
  <c r="G126" i="1" s="1"/>
  <c r="F127" i="1"/>
  <c r="F126" i="1" s="1"/>
  <c r="I126" i="1"/>
  <c r="E126" i="1"/>
  <c r="D126" i="1"/>
  <c r="I125" i="1"/>
  <c r="H125" i="1"/>
  <c r="F125" i="1"/>
  <c r="I124" i="1"/>
  <c r="H124" i="1"/>
  <c r="H121" i="1" s="1"/>
  <c r="F124" i="1"/>
  <c r="I123" i="1"/>
  <c r="H123" i="1"/>
  <c r="G123" i="1"/>
  <c r="F123" i="1"/>
  <c r="I122" i="1"/>
  <c r="H122" i="1"/>
  <c r="G122" i="1"/>
  <c r="F122" i="1"/>
  <c r="F121" i="1" s="1"/>
  <c r="F120" i="1" s="1"/>
  <c r="I121" i="1"/>
  <c r="I120" i="1" s="1"/>
  <c r="G121" i="1"/>
  <c r="E121" i="1"/>
  <c r="D121" i="1"/>
  <c r="D120" i="1" s="1"/>
  <c r="E120" i="1"/>
  <c r="I119" i="1"/>
  <c r="H119" i="1"/>
  <c r="F119" i="1"/>
  <c r="I118" i="1"/>
  <c r="H118" i="1"/>
  <c r="G118" i="1"/>
  <c r="F118" i="1"/>
  <c r="I117" i="1"/>
  <c r="H117" i="1"/>
  <c r="G117" i="1"/>
  <c r="F117" i="1"/>
  <c r="F115" i="1" s="1"/>
  <c r="I116" i="1"/>
  <c r="I115" i="1" s="1"/>
  <c r="I137" i="1" s="1"/>
  <c r="H116" i="1"/>
  <c r="H115" i="1" s="1"/>
  <c r="G116" i="1"/>
  <c r="G115" i="1" s="1"/>
  <c r="F116" i="1"/>
  <c r="E115" i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F83" i="1" s="1"/>
  <c r="F82" i="1" s="1"/>
  <c r="I83" i="1"/>
  <c r="E83" i="1"/>
  <c r="E82" i="1" s="1"/>
  <c r="E94" i="1" s="1"/>
  <c r="D83" i="1"/>
  <c r="I82" i="1"/>
  <c r="D82" i="1"/>
  <c r="I81" i="1"/>
  <c r="G81" i="1"/>
  <c r="H81" i="1" s="1"/>
  <c r="H79" i="1" s="1"/>
  <c r="F81" i="1"/>
  <c r="I80" i="1"/>
  <c r="I79" i="1" s="1"/>
  <c r="I94" i="1" s="1"/>
  <c r="G80" i="1"/>
  <c r="H80" i="1" s="1"/>
  <c r="F80" i="1"/>
  <c r="F79" i="1"/>
  <c r="F94" i="1" s="1"/>
  <c r="E79" i="1"/>
  <c r="D79" i="1"/>
  <c r="D94" i="1" s="1"/>
  <c r="C76" i="1"/>
  <c r="H72" i="1"/>
  <c r="F72" i="1"/>
  <c r="D72" i="1"/>
  <c r="H58" i="1"/>
  <c r="H57" i="1"/>
  <c r="I52" i="1"/>
  <c r="G52" i="1"/>
  <c r="H52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F34" i="1"/>
  <c r="F33" i="1" s="1"/>
  <c r="F25" i="1" s="1"/>
  <c r="E33" i="1"/>
  <c r="E25" i="1" s="1"/>
  <c r="D33" i="1"/>
  <c r="D25" i="1" s="1"/>
  <c r="I32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G26" i="1" s="1"/>
  <c r="F27" i="1"/>
  <c r="F26" i="1" s="1"/>
  <c r="I26" i="1"/>
  <c r="E26" i="1"/>
  <c r="D26" i="1"/>
  <c r="I24" i="1"/>
  <c r="I22" i="1" s="1"/>
  <c r="G24" i="1"/>
  <c r="F24" i="1"/>
  <c r="I23" i="1"/>
  <c r="G23" i="1"/>
  <c r="H23" i="1" s="1"/>
  <c r="F23" i="1"/>
  <c r="G22" i="1"/>
  <c r="F22" i="1"/>
  <c r="E22" i="1"/>
  <c r="E42" i="1" s="1"/>
  <c r="D22" i="1"/>
  <c r="D42" i="1" s="1"/>
  <c r="H16" i="1"/>
  <c r="F16" i="1"/>
  <c r="D16" i="1"/>
  <c r="G120" i="1" l="1"/>
  <c r="G137" i="1" s="1"/>
  <c r="H120" i="1"/>
  <c r="G33" i="1"/>
  <c r="I42" i="1"/>
  <c r="F273" i="1"/>
  <c r="F42" i="1"/>
  <c r="F137" i="1"/>
  <c r="H94" i="1"/>
  <c r="G206" i="1"/>
  <c r="F304" i="1"/>
  <c r="G294" i="1"/>
  <c r="G202" i="1"/>
  <c r="F206" i="1"/>
  <c r="H192" i="1"/>
  <c r="H22" i="1"/>
  <c r="H137" i="1"/>
  <c r="F169" i="1"/>
  <c r="G169" i="1" s="1"/>
  <c r="G241" i="1"/>
  <c r="G304" i="1"/>
  <c r="G79" i="1"/>
  <c r="G94" i="1" s="1"/>
  <c r="H26" i="1"/>
  <c r="H83" i="1"/>
  <c r="H82" i="1" s="1"/>
  <c r="G215" i="1"/>
  <c r="H265" i="1"/>
  <c r="H262" i="1" s="1"/>
  <c r="H273" i="1" s="1"/>
  <c r="G25" i="1"/>
  <c r="G42" i="1" s="1"/>
  <c r="G323" i="1"/>
  <c r="G324" i="1" s="1"/>
  <c r="G160" i="1"/>
  <c r="H33" i="1" l="1"/>
  <c r="H25" i="1" s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<sst xmlns="http://schemas.openxmlformats.org/spreadsheetml/2006/main" count="391" uniqueCount="166">
  <si>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</si>
  <si>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</si>
  <si>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</si>
  <si>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</si>
  <si>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</si>
  <si>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</si>
  <si>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</si>
  <si>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</si>
  <si>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</si>
  <si>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</si>
  <si>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</si>
  <si>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</si>
  <si>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</si>
  <si>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</si>
  <si>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</si>
  <si>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</si>
  <si>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</si>
  <si>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</si>
  <si>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</si>
  <si>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</si>
  <si>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</si>
  <si>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</si>
  <si>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</si>
  <si>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</si>
  <si>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</si>
  <si>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</si>
  <si>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</si>
  <si>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</si>
  <si>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</si>
  <si>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</si>
  <si>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</si>
  <si>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</si>
  <si>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</si>
  <si>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</si>
  <si>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</si>
  <si>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</si>
  <si>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</si>
  <si>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</si>
  <si>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</si>
  <si>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</si>
  <si>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</si>
  <si>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</si>
  <si>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</si>
  <si>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</si>
  <si>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</si>
  <si>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</si>
  <si>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</si>
  <si>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</si>
  <si>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</si>
  <si>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</si>
  <si>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</si>
  <si>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</si>
  <si>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</si>
  <si>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</si>
  <si>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</si>
  <si>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</si>
  <si>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</si>
  <si>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</si>
  <si>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</si>
  <si>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</si>
  <si>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</si>
  <si>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</si>
  <si>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</si>
  <si>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</si>
  <si>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</si>
  <si>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</si>
  <si>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</si>
  <si>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</si>
  <si>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</si>
  <si>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</si>
  <si>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</si>
  <si>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</si>
  <si>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</si>
  <si>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</si>
  <si>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</si>
  <si>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</si>
  <si>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</si>
  <si>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</si>
  <si>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</si>
  <si>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</si>
  <si>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</si>
  <si>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</si>
  <si>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</si>
  <si>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</si>
  <si>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</si>
  <si>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</si>
  <si>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</si>
  <si>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</si>
  <si>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</si>
  <si>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</si>
  <si>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</si>
  <si>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</si>
  <si>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</si>
  <si>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</si>
  <si>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</si>
  <si>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</si>
  <si>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</si>
  <si>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</si>
  <si>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</si>
  <si>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</si>
  <si>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</si>
  <si>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</si>
  <si>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</si>
  <si>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</si>
  <si>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</si>
  <si>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</si>
  <si>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</si>
  <si>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</si>
  <si>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</si>
  <si>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</si>
  <si>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</si>
  <si>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</si>
  <si>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</si>
  <si>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</si>
  <si>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</si>
  <si>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</si>
  <si>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</si>
  <si>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</si>
  <si>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</si>
  <si>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</si>
  <si>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</si>
  <si>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</si>
  <si>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</si>
  <si>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</si>
  <si>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</si>
  <si>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</si>
  <si>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</si>
  <si>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</si>
  <si>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</si>
  <si>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</si>
  <si>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</si>
  <si>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</si>
  <si>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</si>
  <si>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</si>
  <si>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</si>
  <si>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</si>
  <si>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</si>
  <si>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</si>
  <si>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</si>
  <si>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</si>
  <si>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</si>
  <si>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</si>
  <si>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</si>
  <si>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</si>
  <si>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</si>
  <si>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</si>
  <si>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</si>
  <si>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</si>
  <si>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</si>
  <si>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</si>
  <si>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</si>
  <si>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</si>
  <si>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</si>
  <si>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</si>
  <si>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</si>
  <si>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</si>
  <si>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</si>
  <si>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</si>
  <si>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34 tonn, men det legges til grunn at hele avsetningen tas</t>
  </si>
  <si>
    <t>4 Registrert rekreasjonsfiske utgjør 139 tonn, men det legges til grunn at hele avsetningen tas</t>
  </si>
  <si>
    <t>3 Registrert rekreasjonsfiske utgjør 568 tonn, men det legges til grunn at hele avsetningen tas</t>
  </si>
  <si>
    <t>FANGST UKE 16</t>
  </si>
  <si>
    <t>FANGST T.O.M UKE 16</t>
  </si>
  <si>
    <t>RESTKVOTER UKE 16</t>
  </si>
  <si>
    <t>FANGST T.O.M UKE 16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</si>
  <si>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206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</si>
</sst>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indexed="6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1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2" fillId="0" borderId="2" xfId="0" applyFont="1" applyBorder="1"/>
    <xf numFmtId="0" fontId="7" fillId="0" borderId="3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/>
    <xf numFmtId="0" fontId="7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7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3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 indent="1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indent="1"/>
    </xf>
    <xf numFmtId="3" fontId="2" fillId="0" borderId="25" xfId="0" applyNumberFormat="1" applyFont="1" applyBorder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29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vertical="center" wrapText="1"/>
    </xf>
    <xf numFmtId="9" fontId="2" fillId="0" borderId="7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30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3" fontId="6" fillId="2" borderId="3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3" fontId="12" fillId="0" borderId="0" xfId="0" applyNumberFormat="1" applyFont="1" applyAlignment="1">
      <alignment vertical="center" wrapText="1"/>
    </xf>
    <xf numFmtId="164" fontId="20" fillId="0" borderId="7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/>
    </xf>
    <xf numFmtId="0" fontId="12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inden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13" fillId="0" borderId="37" xfId="0" applyNumberFormat="1" applyFont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2" fillId="0" borderId="18" xfId="0" applyNumberFormat="1" applyFont="1" applyBorder="1" applyAlignment="1">
      <alignment horizontal="right" vertical="center" indent="1"/>
    </xf>
    <xf numFmtId="0" fontId="2" fillId="0" borderId="3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0" xfId="0" applyNumberFormat="1" applyFont="1" applyBorder="1" applyAlignment="1">
      <alignment horizontal="right" vertical="center" wrapText="1"/>
    </xf>
    <xf numFmtId="0" fontId="2" fillId="0" borderId="41" xfId="0" applyFont="1" applyBorder="1"/>
    <xf numFmtId="3" fontId="17" fillId="0" borderId="5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" fillId="0" borderId="7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/>
    </xf>
    <xf numFmtId="3" fontId="17" fillId="0" borderId="7" xfId="0" applyNumberFormat="1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1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1" xfId="0" applyNumberFormat="1" applyFont="1" applyBorder="1" applyAlignment="1">
      <alignment horizontal="right" vertical="center" wrapText="1"/>
    </xf>
    <xf numFmtId="0" fontId="2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2" fillId="0" borderId="0" xfId="0" applyFont="1"/>
    <xf numFmtId="0" fontId="8" fillId="0" borderId="36" xfId="0" applyFont="1" applyBorder="1" applyAlignment="1">
      <alignment vertical="center"/>
    </xf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2" fillId="0" borderId="3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7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44" xfId="0" applyFont="1" applyBorder="1" applyAlignment="1">
      <alignment vertical="center" wrapText="1"/>
    </xf>
    <xf numFmtId="3" fontId="8" fillId="0" borderId="44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7" xfId="0" applyNumberFormat="1" applyFont="1" applyBorder="1" applyAlignment="1">
      <alignment vertical="center"/>
    </xf>
    <xf numFmtId="0" fontId="18" fillId="0" borderId="2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vertical="center"/>
    </xf>
    <xf numFmtId="3" fontId="18" fillId="0" borderId="27" xfId="0" applyNumberFormat="1" applyFont="1" applyBorder="1" applyAlignment="1">
      <alignment horizontal="right" vertical="center" wrapText="1"/>
    </xf>
    <xf numFmtId="3" fontId="24" fillId="0" borderId="18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8" fillId="0" borderId="37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" fontId="14" fillId="0" borderId="35" xfId="0" applyNumberFormat="1" applyFont="1" applyBorder="1" applyAlignment="1">
      <alignment horizontal="right" vertical="top"/>
    </xf>
    <xf numFmtId="1" fontId="13" fillId="0" borderId="37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0" fontId="2" fillId="0" borderId="3" xfId="0" applyFont="1" applyBorder="1"/>
    <xf numFmtId="3" fontId="12" fillId="0" borderId="0" xfId="0" applyNumberFormat="1" applyFont="1" applyAlignment="1">
      <alignment horizontal="left" wrapText="1"/>
    </xf>
    <xf numFmtId="1" fontId="18" fillId="0" borderId="0" xfId="0" applyNumberFormat="1" applyFont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3" fontId="8" fillId="0" borderId="44" xfId="0" applyNumberFormat="1" applyFont="1" applyBorder="1" applyAlignment="1">
      <alignment horizontal="right" vertical="center"/>
    </xf>
    <xf numFmtId="3" fontId="18" fillId="0" borderId="47" xfId="0" applyNumberFormat="1" applyFont="1" applyBorder="1" applyAlignment="1">
      <alignment horizontal="right" vertical="center" wrapText="1"/>
    </xf>
    <xf numFmtId="3" fontId="30" fillId="0" borderId="0" xfId="0" applyNumberFormat="1" applyFont="1"/>
    <xf numFmtId="3" fontId="2" fillId="0" borderId="19" xfId="0" applyNumberFormat="1" applyFont="1" applyBorder="1"/>
    <xf numFmtId="0" fontId="29" fillId="0" borderId="0" xfId="0" applyFont="1" applyAlignment="1">
      <alignment vertical="center"/>
    </xf>
    <xf numFmtId="0" fontId="4" fillId="3" borderId="4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164" fontId="2" fillId="0" borderId="35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2" fillId="0" borderId="25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0" fontId="13" fillId="0" borderId="44" xfId="0" applyFont="1" applyBorder="1" applyAlignment="1">
      <alignment horizontal="left" vertical="center"/>
    </xf>
    <xf numFmtId="1" fontId="8" fillId="0" borderId="44" xfId="0" applyNumberFormat="1" applyFont="1" applyBorder="1" applyAlignment="1">
      <alignment horizontal="right" vertical="center"/>
    </xf>
    <xf numFmtId="3" fontId="13" fillId="0" borderId="4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3" fontId="8" fillId="0" borderId="26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9" fontId="2" fillId="0" borderId="22" xfId="0" applyNumberFormat="1" applyFont="1" applyBorder="1"/>
    <xf numFmtId="0" fontId="19" fillId="0" borderId="3" xfId="0" applyFont="1" applyBorder="1" applyAlignment="1">
      <alignment vertical="center"/>
    </xf>
    <xf numFmtId="0" fontId="12" fillId="0" borderId="32" xfId="0" applyFont="1" applyBorder="1" applyAlignment="1">
      <alignment vertical="top" wrapText="1"/>
    </xf>
    <xf numFmtId="3" fontId="2" fillId="0" borderId="25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8" fillId="0" borderId="37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4" fillId="0" borderId="14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3" fontId="2" fillId="0" borderId="47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0" fillId="0" borderId="38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3" fontId="2" fillId="0" borderId="46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12" fillId="0" borderId="38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3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1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5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2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12" fillId="0" borderId="0" xfId="0" applyNumberFormat="1" applyFont="1" applyAlignment="1">
      <alignment horizontal="left" wrapText="1"/>
    </xf>
    <xf numFmtId="0" fontId="12" fillId="0" borderId="3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6" fillId="2" borderId="46" xfId="0" applyFont="1" applyFill="1" applyBorder="1" applyAlignment="1">
      <alignment horizontal="center" vertical="center"/>
    </xf>
  </cellXfs>
  <cellStyles count="2">
    <cellStyle name="20 % - uthevingsfarge 3" xfId="1" xr:uid="{E8B2CCE0-88A1-4EDB-A9EC-83A7B29CCEE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49" zoomScale="102" zoomScaleNormal="145" zoomScaleSheetLayoutView="100" zoomScalePageLayoutView="85" workbookViewId="0">
      <selection activeCell="G60" sqref="G60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216.45150000000001</v>
      </c>
      <c r="G22" s="27">
        <f t="shared" si="0"/>
        <v>10585.600899999999</v>
      </c>
      <c r="H22" s="10">
        <f>H24+H23</f>
        <v>22846.399099999999</v>
      </c>
      <c r="I22" s="10">
        <f t="shared" si="0"/>
        <v>15779.81223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216.4515</f>
        <v>216.45150000000001</v>
      </c>
      <c r="G23" s="22">
        <f>10384.2079</f>
        <v>10384.207899999999</v>
      </c>
      <c r="H23" s="22">
        <f>E23-G23</f>
        <v>22304.792099999999</v>
      </c>
      <c r="I23" s="22">
        <f>15589.68873</f>
        <v>15589.68873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201.393</f>
        <v>201.393</v>
      </c>
      <c r="H24" s="22">
        <f>E24-G24</f>
        <v>541.60699999999997</v>
      </c>
      <c r="I24" s="22">
        <f>190.1235</f>
        <v>190.12350000000001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2426.0459799999999</v>
      </c>
      <c r="G25" s="10">
        <f t="shared" si="1"/>
        <v>73766.602559999999</v>
      </c>
      <c r="H25" s="10">
        <f>H33+H32+H26</f>
        <v>24275.397440000001</v>
      </c>
      <c r="I25" s="10">
        <f t="shared" si="1"/>
        <v>86693.924510000012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1576.4593100000002</v>
      </c>
      <c r="G26" s="129">
        <f>G27+G28+G29+G30+G31</f>
        <v>61257.542730000001</v>
      </c>
      <c r="H26" s="129">
        <f>H27+H28+H29+H30+H31</f>
        <v>16600.457269999999</v>
      </c>
      <c r="I26" s="129">
        <f t="shared" ref="I26" si="2">I27+I28+I29+I30+I31</f>
        <v>72033.175970000011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818.88203 - F53</f>
        <v>818.88202999999999</v>
      </c>
      <c r="G27" s="123">
        <f>18375.52327 - G53</f>
        <v>18375.523270000002</v>
      </c>
      <c r="H27" s="123">
        <f>E27-G27</f>
        <v>2492.4767299999985</v>
      </c>
      <c r="I27" s="123">
        <f>20446.6027 - I53</f>
        <v>20446.602699999999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330.50583 - F54</f>
        <v>330.50583</v>
      </c>
      <c r="G28" s="123">
        <f>17606.91062 - G54</f>
        <v>17606.910619999999</v>
      </c>
      <c r="H28" s="123">
        <f t="shared" ref="H28:H41" si="3">E28-G28</f>
        <v>2113.0893800000013</v>
      </c>
      <c r="I28" s="123">
        <f>20539.77326 - I54</f>
        <v>20539.773260000002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151.90243 - F55</f>
        <v>151.90243000000001</v>
      </c>
      <c r="G29" s="123">
        <f>14318.77395 - G55</f>
        <v>14318.773950000001</v>
      </c>
      <c r="H29" s="123">
        <f t="shared" si="3"/>
        <v>3306.2260499999993</v>
      </c>
      <c r="I29" s="123">
        <f>18418.54692 - I55</f>
        <v>18418.546920000001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275.16902 - F56</f>
        <v>275.16901999999999</v>
      </c>
      <c r="G30" s="123">
        <f>10956.33489 - G56</f>
        <v>10956.33489</v>
      </c>
      <c r="H30" s="123">
        <f t="shared" si="3"/>
        <v>1997.6651099999999</v>
      </c>
      <c r="I30" s="123">
        <f>12628.25309 - I56</f>
        <v>12628.25309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148.05585</f>
        <v>148.05584999999999</v>
      </c>
      <c r="G32" s="129">
        <f>3701.10427</f>
        <v>3701.1042699999998</v>
      </c>
      <c r="H32" s="129">
        <f t="shared" si="3"/>
        <v>7205.8957300000002</v>
      </c>
      <c r="I32" s="129">
        <f>5425.38476</f>
        <v>5425.3847599999999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701.53081999999995</v>
      </c>
      <c r="G33" s="129">
        <f>G34+G35</f>
        <v>8807.9555600000003</v>
      </c>
      <c r="H33" s="129">
        <f t="shared" si="3"/>
        <v>469.04443999999967</v>
      </c>
      <c r="I33" s="129">
        <f>I34+I35</f>
        <v>9235.3637799999997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1129.53082 - F57 - F58</f>
        <v>701.53081999999995</v>
      </c>
      <c r="G34" s="129">
        <f>10948.95556 - G57 - G58</f>
        <v>8807.9555600000003</v>
      </c>
      <c r="H34" s="123">
        <f>E34-G34</f>
        <v>-395.95556000000033</v>
      </c>
      <c r="I34" s="123">
        <f>10576.36378 - I57 - I58</f>
        <v>9235.3637799999997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384.7944</f>
        <v>384.7944</v>
      </c>
      <c r="H36" s="136">
        <f t="shared" si="3"/>
        <v>115.2056</v>
      </c>
      <c r="I36" s="136">
        <f>254.3836</f>
        <v>254.3836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22.0679</f>
        <v>22.067900000000002</v>
      </c>
      <c r="G37" s="95">
        <f>497.9601</f>
        <v>497.96010000000001</v>
      </c>
      <c r="H37" s="95">
        <f t="shared" si="3"/>
        <v>382.03989999999999</v>
      </c>
      <c r="I37" s="95">
        <f>516.49004</f>
        <v>516.49004000000002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428</v>
      </c>
      <c r="G38" s="95">
        <f>G58</f>
        <v>2141</v>
      </c>
      <c r="H38" s="95">
        <f t="shared" si="3"/>
        <v>859</v>
      </c>
      <c r="I38" s="95">
        <f>I58</f>
        <v>1341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94.25772</f>
        <v>94.257720000000006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36.39555</f>
        <v>36.39555</v>
      </c>
      <c r="G40" s="95">
        <f>356.83343</f>
        <v>356.83343000000002</v>
      </c>
      <c r="H40" s="95">
        <f t="shared" si="3"/>
        <v>93.166569999999979</v>
      </c>
      <c r="I40" s="95">
        <f>304.71024</f>
        <v>304.71024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0.39</f>
        <v>0.39</v>
      </c>
      <c r="G41" s="136">
        <f>41.38355</f>
        <v>41.38355</v>
      </c>
      <c r="H41" s="136">
        <f t="shared" si="3"/>
        <v>-41.38355</v>
      </c>
      <c r="I41" s="136">
        <f>49.21108</f>
        <v>49.211080000000003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3223.6086500000001</v>
      </c>
      <c r="G42" s="73">
        <f t="shared" si="4"/>
        <v>94774.174939999997</v>
      </c>
      <c r="H42" s="73">
        <f>H22+H25+H36+H37+H38+H39+H40+H41</f>
        <v>48529.825060000003</v>
      </c>
      <c r="I42" s="73">
        <f t="shared" si="4"/>
        <v>111939.53170000001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33">
        <v>7085</v>
      </c>
      <c r="E52" s="333">
        <v>6691</v>
      </c>
      <c r="F52" s="10">
        <f>F56+F55+F54+F53</f>
        <v>0</v>
      </c>
      <c r="G52" s="10">
        <f>G56+G55+G54+G53</f>
        <v>0</v>
      </c>
      <c r="H52" s="333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5" customHeight="1" thickBot="1" x14ac:dyDescent="0.4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thickBot="1" x14ac:dyDescent="0.4">
      <c r="A58" s="101"/>
      <c r="B58" s="24"/>
      <c r="C58" s="139" t="s">
        <v>44</v>
      </c>
      <c r="D58" s="136">
        <v>3000</v>
      </c>
      <c r="E58" s="136">
        <v>3000</v>
      </c>
      <c r="F58" s="136">
        <v>428</v>
      </c>
      <c r="G58" s="136">
        <v>2141</v>
      </c>
      <c r="H58" s="136">
        <f>E58-G58</f>
        <v>859</v>
      </c>
      <c r="I58" s="136">
        <v>1341</v>
      </c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28879</v>
      </c>
      <c r="F79" s="10">
        <f t="shared" ref="F79:I79" si="5">F81+F80</f>
        <v>1650.0075200000001</v>
      </c>
      <c r="G79" s="10">
        <f t="shared" si="5"/>
        <v>15908.88746</v>
      </c>
      <c r="H79" s="10">
        <f>H81+H80</f>
        <v>12970.11254</v>
      </c>
      <c r="I79" s="10">
        <f t="shared" si="5"/>
        <v>16894.95406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28123</v>
      </c>
      <c r="F80" s="22">
        <f>1650.00752</f>
        <v>1650.0075200000001</v>
      </c>
      <c r="G80" s="22">
        <f>15647.87433</f>
        <v>15647.874330000001</v>
      </c>
      <c r="H80" s="22">
        <f>E80-G80</f>
        <v>12475.125669999999</v>
      </c>
      <c r="I80" s="22">
        <f>16614.65306</f>
        <v>16614.653060000001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261.01313</f>
        <v>261.01312999999999</v>
      </c>
      <c r="H81" s="48">
        <f>E81-G81</f>
        <v>494.98687000000001</v>
      </c>
      <c r="I81" s="48">
        <f>280.301</f>
        <v>280.30099999999999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50748</v>
      </c>
      <c r="F82" s="10">
        <f t="shared" ref="F82:I82" si="6">F83+F88+F89</f>
        <v>1018.25442</v>
      </c>
      <c r="G82" s="10">
        <f t="shared" si="6"/>
        <v>13296.025809999979</v>
      </c>
      <c r="H82" s="10">
        <f>H83+H88+H89</f>
        <v>37451.974190000023</v>
      </c>
      <c r="I82" s="10">
        <f t="shared" si="6"/>
        <v>15276.344139999987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37462</v>
      </c>
      <c r="F83" s="129">
        <f t="shared" ref="F83:I83" si="7">F84+F85+F86+F87</f>
        <v>756.85346000000004</v>
      </c>
      <c r="G83" s="129">
        <f t="shared" si="7"/>
        <v>9830.7684299999692</v>
      </c>
      <c r="H83" s="129">
        <f>H84+H85+H86+H87</f>
        <v>27631.231570000029</v>
      </c>
      <c r="I83" s="129">
        <f t="shared" si="7"/>
        <v>12019.982669999968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10382</v>
      </c>
      <c r="F84" s="123">
        <f>120.01947</f>
        <v>120.01947</v>
      </c>
      <c r="G84" s="123">
        <f>2209.30208999998</f>
        <v>2209.3020899999801</v>
      </c>
      <c r="H84" s="123">
        <f>E84-G84</f>
        <v>8172.6979100000199</v>
      </c>
      <c r="I84" s="123">
        <f>2284.25616999998</f>
        <v>2284.2561699999801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10815</v>
      </c>
      <c r="F85" s="123">
        <f>428.42398</f>
        <v>428.42397999999997</v>
      </c>
      <c r="G85" s="123">
        <f>3087.45789999999</f>
        <v>3087.4578999999899</v>
      </c>
      <c r="H85" s="123">
        <f t="shared" ref="H85:H93" si="8">E85-G85</f>
        <v>7727.5421000000097</v>
      </c>
      <c r="I85" s="123">
        <f>2987.76742999999</f>
        <v>2987.7674299999899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9753</v>
      </c>
      <c r="F86" s="123">
        <f>185.90037</f>
        <v>185.90037000000001</v>
      </c>
      <c r="G86" s="123">
        <f>2867.08035</f>
        <v>2867.0803500000002</v>
      </c>
      <c r="H86" s="123">
        <f t="shared" si="8"/>
        <v>6885.9196499999998</v>
      </c>
      <c r="I86" s="123">
        <f>3451.42094</f>
        <v>3451.42094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6512</v>
      </c>
      <c r="F87" s="123">
        <f>22.50964</f>
        <v>22.509640000000001</v>
      </c>
      <c r="G87" s="123">
        <f>1666.92809</f>
        <v>1666.9280900000001</v>
      </c>
      <c r="H87" s="123">
        <f t="shared" si="8"/>
        <v>4845.0719099999997</v>
      </c>
      <c r="I87" s="123">
        <f>3296.53813</f>
        <v>3296.5381299999999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9205</v>
      </c>
      <c r="F88" s="129">
        <f>202.99902</f>
        <v>202.99902</v>
      </c>
      <c r="G88" s="129">
        <f>2330.83967</f>
        <v>2330.8396699999998</v>
      </c>
      <c r="H88" s="129">
        <f t="shared" si="8"/>
        <v>6874.1603300000006</v>
      </c>
      <c r="I88" s="129">
        <f>2306.36861</f>
        <v>2306.36861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4081</v>
      </c>
      <c r="F89" s="72">
        <f>58.40194</f>
        <v>58.401940000000003</v>
      </c>
      <c r="G89" s="72">
        <f>1134.41771000001</f>
        <v>1134.4177100000099</v>
      </c>
      <c r="H89" s="72">
        <f t="shared" si="8"/>
        <v>2946.5822899999903</v>
      </c>
      <c r="I89" s="72">
        <f>949.992860000018</f>
        <v>949.99286000001803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0.40299</f>
        <v>0.40299000000000001</v>
      </c>
      <c r="G90" s="95">
        <f>11.24412</f>
        <v>11.244120000000001</v>
      </c>
      <c r="H90" s="95">
        <f t="shared" si="8"/>
        <v>307.75587999999999</v>
      </c>
      <c r="I90" s="95">
        <f>26.90479</f>
        <v>26.904789999999998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3.41118</f>
        <v>3.4111799999999999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0.04996</f>
        <v>4.9959999999999997E-2</v>
      </c>
      <c r="G92" s="95">
        <f>3.14755</f>
        <v>3.1475499999999998</v>
      </c>
      <c r="H92" s="136">
        <f t="shared" si="8"/>
        <v>46.852449999999997</v>
      </c>
      <c r="I92" s="95">
        <f>9.6467</f>
        <v>9.6466999999999992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0.966</f>
        <v>0.96599999999999997</v>
      </c>
      <c r="G93" s="136">
        <f>8.6115</f>
        <v>8.6114999999999995</v>
      </c>
      <c r="H93" s="136">
        <f t="shared" si="8"/>
        <v>-8.6114999999999995</v>
      </c>
      <c r="I93" s="136">
        <f>5.1097</f>
        <v>5.1097000000000001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80296</v>
      </c>
      <c r="F94" s="73">
        <f t="shared" ref="F94:I94" si="10">F79+F82+F90+F91+F92+F93</f>
        <v>2673.0920700000001</v>
      </c>
      <c r="G94" s="73">
        <f t="shared" si="10"/>
        <v>29527.916439999979</v>
      </c>
      <c r="H94" s="73">
        <f>H79+H82+H90+H91+H92+H93</f>
        <v>50768.083560000021</v>
      </c>
      <c r="I94" s="73">
        <f t="shared" si="10"/>
        <v>32512.959389999989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114.68945000000001</v>
      </c>
      <c r="G115" s="10">
        <f t="shared" si="11"/>
        <v>13858.065700000001</v>
      </c>
      <c r="H115" s="10">
        <f t="shared" si="11"/>
        <v>40387.934300000001</v>
      </c>
      <c r="I115" s="10">
        <f t="shared" si="11"/>
        <v>24988.11375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112.24845</f>
        <v>112.24845000000001</v>
      </c>
      <c r="G116" s="22">
        <f>12304.4377</f>
        <v>12304.4377</v>
      </c>
      <c r="H116" s="22">
        <f>E116-G116</f>
        <v>31092.562299999998</v>
      </c>
      <c r="I116" s="22">
        <f>22221.17125</f>
        <v>22221.171249999999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1481.288</f>
        <v>1481.288</v>
      </c>
      <c r="H117" s="22">
        <f>E117-G117</f>
        <v>8867.7119999999995</v>
      </c>
      <c r="I117" s="22">
        <f>2701.5849</f>
        <v>2701.5848999999998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2.441</f>
        <v>2.4409999999999998</v>
      </c>
      <c r="G118" s="22">
        <f>72.34</f>
        <v>72.34</v>
      </c>
      <c r="H118" s="53">
        <f>E118-G118</f>
        <v>427.65999999999997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2023.164</f>
        <v>2023.164</v>
      </c>
      <c r="G119" s="92">
        <f>2215.855+183.9705+21.8318</f>
        <v>2421.6572999999999</v>
      </c>
      <c r="H119" s="92">
        <f>E119-G119</f>
        <v>34231.342700000001</v>
      </c>
      <c r="I119" s="92">
        <f>57.155</f>
        <v>57.155000000000001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804.46417000000008</v>
      </c>
      <c r="G120" s="91">
        <f t="shared" ref="G120" si="12">G121+G126+G129</f>
        <v>18415.13831000002</v>
      </c>
      <c r="H120" s="91">
        <f>H121+H126+H129</f>
        <v>38694.861689999983</v>
      </c>
      <c r="I120" s="91">
        <f>I121+I126+I129</f>
        <v>31782.508659999978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663.53114000000005</v>
      </c>
      <c r="G121" s="121">
        <f>G122+G123+G125+G124</f>
        <v>14014.267110000012</v>
      </c>
      <c r="H121" s="121">
        <f>H122+H123+H124+H125</f>
        <v>29167.732889999992</v>
      </c>
      <c r="I121" s="121">
        <f>I122+I123+I124+I125</f>
        <v>23692.891579999978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88.36734</f>
        <v>88.367339999999999</v>
      </c>
      <c r="G122" s="123">
        <f>3868.55992</f>
        <v>3868.5599200000001</v>
      </c>
      <c r="H122" s="123">
        <f>E122-G122</f>
        <v>7607.4400800000003</v>
      </c>
      <c r="I122" s="123">
        <f>5246.90348</f>
        <v>5246.9034799999999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92.6957</f>
        <v>92.695700000000002</v>
      </c>
      <c r="G123" s="123">
        <f>4517.27981000001</f>
        <v>4517.27981000001</v>
      </c>
      <c r="H123" s="123">
        <f>E123-G123</f>
        <v>7317.72018999999</v>
      </c>
      <c r="I123" s="123">
        <f>7383.54475999998</f>
        <v>7383.5447599999798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72.15215</f>
        <v>72.152150000000006</v>
      </c>
      <c r="G124" s="123">
        <f>3036.95338-21.8318</f>
        <v>3015.12158</v>
      </c>
      <c r="H124" s="123">
        <f>E124-G124</f>
        <v>7457.87842</v>
      </c>
      <c r="I124" s="123">
        <f>5255.46131</f>
        <v>5255.4613099999997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410.31595</f>
        <v>410.31594999999999</v>
      </c>
      <c r="G125" s="123">
        <f>2797.2763-183.9705</f>
        <v>2613.3058000000001</v>
      </c>
      <c r="H125" s="123">
        <f>E125-G125</f>
        <v>6784.6941999999999</v>
      </c>
      <c r="I125" s="123">
        <f>5806.98203</f>
        <v>5806.9820300000001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27.266100000000002</v>
      </c>
      <c r="G126" s="129">
        <f>SUM(G127:G128)</f>
        <v>1830.5649500000002</v>
      </c>
      <c r="H126" s="129">
        <f>H127+H128</f>
        <v>4297.43505</v>
      </c>
      <c r="I126" s="129">
        <f>SUM(I127:I128)</f>
        <v>5606.4668300000003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15.27315</f>
        <v>15.273149999999999</v>
      </c>
      <c r="G127" s="123">
        <f>1666.80553</f>
        <v>1666.8055300000001</v>
      </c>
      <c r="H127" s="123">
        <f t="shared" ref="H127:H135" si="13">E127-G127</f>
        <v>3961.1944699999999</v>
      </c>
      <c r="I127" s="123">
        <f>5494.91576</f>
        <v>5494.9157599999999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11.99295</f>
        <v>11.99295</v>
      </c>
      <c r="G128" s="123">
        <f>163.75942</f>
        <v>163.75942000000001</v>
      </c>
      <c r="H128" s="123">
        <f t="shared" si="13"/>
        <v>336.24058000000002</v>
      </c>
      <c r="I128" s="123">
        <f>111.55107</f>
        <v>111.55107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113.66693</f>
        <v>113.66692999999999</v>
      </c>
      <c r="G129" s="72">
        <f>2570.30625000001</f>
        <v>2570.3062500000101</v>
      </c>
      <c r="H129" s="72">
        <f t="shared" si="13"/>
        <v>5229.6937499999894</v>
      </c>
      <c r="I129" s="72">
        <f>2483.15025</f>
        <v>2483.1502500000001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0.43943</f>
        <v>0.43942999999999999</v>
      </c>
      <c r="G130" s="136">
        <f>12.60343</f>
        <v>12.603429999999999</v>
      </c>
      <c r="H130" s="136">
        <f t="shared" si="13"/>
        <v>143.39657</v>
      </c>
      <c r="I130" s="136">
        <f>14.96865</f>
        <v>14.96865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13.40661</f>
        <v>13.406610000000001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0.2142</f>
        <v>0.2142</v>
      </c>
      <c r="G134" s="95">
        <f>4.33408</f>
        <v>4.3340800000000002</v>
      </c>
      <c r="H134" s="136">
        <f t="shared" si="13"/>
        <v>250.66592</v>
      </c>
      <c r="I134" s="95">
        <f>77.9859</f>
        <v>77.985900000000001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74.65446</f>
        <v>74.65446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2956.3778600000001</v>
      </c>
      <c r="G137" s="73">
        <f>G115+G119+G120+G130+G131+G132+G133+G134+G135</f>
        <v>36776.218570000026</v>
      </c>
      <c r="H137" s="73">
        <f>H115+H119+H120+H130+H131+H132+H133+H134+H135</f>
        <v>113993.78142999999</v>
      </c>
      <c r="I137" s="73">
        <f>I115+I119+I120+I130+I131+I132+I133+I134+I135</f>
        <v>58995.386419999981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20.08311</f>
        <v>20.083110000000001</v>
      </c>
      <c r="F160" s="301">
        <f>467.23396</f>
        <v>467.23396000000002</v>
      </c>
      <c r="G160" s="42">
        <f>D160-F160-F161</f>
        <v>2918.81502</v>
      </c>
      <c r="H160" s="301">
        <f>343.26281</f>
        <v>343.26281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94.31634</f>
        <v>94.316339999999997</v>
      </c>
      <c r="F161" s="148">
        <f>367.95102</f>
        <v>367.95102000000003</v>
      </c>
      <c r="G161" s="219"/>
      <c r="H161" s="148">
        <f>297.96974</f>
        <v>297.96974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20.39606</f>
        <v>20.396059999999999</v>
      </c>
      <c r="G162" s="166">
        <f>D162-F162</f>
        <v>179.60393999999999</v>
      </c>
      <c r="H162" s="166">
        <f>45.01615</f>
        <v>45.016150000000003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13.6934</v>
      </c>
      <c r="F163" s="175">
        <f>F164+F165+F166</f>
        <v>106.94802</v>
      </c>
      <c r="G163" s="175">
        <f>D163-F163</f>
        <v>5523.0519800000002</v>
      </c>
      <c r="H163" s="175">
        <f>H164+H165+H166</f>
        <v>102.76322000000002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7.3534</f>
        <v>7.3533999999999997</v>
      </c>
      <c r="F164" s="123">
        <f>40.69472</f>
        <v>40.694719999999997</v>
      </c>
      <c r="G164" s="123"/>
      <c r="H164" s="123">
        <f>33.27662</f>
        <v>33.276620000000001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3.415</f>
        <v>3.415</v>
      </c>
      <c r="F165" s="123">
        <f>46.96942</f>
        <v>46.96942</v>
      </c>
      <c r="G165" s="123"/>
      <c r="H165" s="123">
        <f>36.4769</f>
        <v>36.476900000000001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2.925</f>
        <v>2.9249999999999998</v>
      </c>
      <c r="F166" s="186">
        <f>19.28388</f>
        <v>19.28388</v>
      </c>
      <c r="G166" s="186"/>
      <c r="H166" s="186">
        <f>33.0097</f>
        <v>33.009700000000002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128.09285</v>
      </c>
      <c r="F169" s="188">
        <f>F160+F161+F162+F163+F167+F168</f>
        <v>963.00502000000006</v>
      </c>
      <c r="G169" s="188">
        <f>D169-F169</f>
        <v>8711.9949799999995</v>
      </c>
      <c r="H169" s="188">
        <f>H160+H161+H162+H163+H167+H168</f>
        <v>789.01192000000003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47.56195</f>
        <v>47.561950000000003</v>
      </c>
      <c r="G189" s="124">
        <f>15017.83032</f>
        <v>15017.830319999999</v>
      </c>
      <c r="H189" s="124">
        <f>E189-G189</f>
        <v>27722.169679999999</v>
      </c>
      <c r="I189" s="124">
        <f>17340.02928</f>
        <v>17340.029279999999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0.3167</f>
        <v>0.31669999999999998</v>
      </c>
      <c r="G190" s="124">
        <f>3.74162</f>
        <v>3.7416200000000002</v>
      </c>
      <c r="H190" s="124">
        <f>E190-G190</f>
        <v>96.258380000000002</v>
      </c>
      <c r="I190" s="124">
        <f>5.93694</f>
        <v>5.9369399999999999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47.87865</v>
      </c>
      <c r="G192" s="190">
        <f>SUM(G189:G191)</f>
        <v>15021.57194</v>
      </c>
      <c r="H192" s="190">
        <f>E192-G192</f>
        <v>27864.428059999998</v>
      </c>
      <c r="I192" s="190">
        <f>SUM(I189:I191)</f>
        <v>17345.966219999998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191.08964</v>
      </c>
      <c r="F202" s="72">
        <f>F203+F204</f>
        <v>2150.7546399999992</v>
      </c>
      <c r="G202" s="72">
        <f>D202-F202</f>
        <v>1051.2453600000008</v>
      </c>
      <c r="H202" s="72">
        <f>H203+H204</f>
        <v>1485.2249900000002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183.41504</f>
        <v>183.41504</v>
      </c>
      <c r="F203" s="72">
        <f>1679.85632</f>
        <v>1679.8563200000001</v>
      </c>
      <c r="G203" s="72"/>
      <c r="H203" s="72">
        <f>1047.56445</f>
        <v>1047.5644500000001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7.6746</f>
        <v>7.6745999999999999</v>
      </c>
      <c r="F204" s="124">
        <f>470.898319999999</f>
        <v>470.89831999999899</v>
      </c>
      <c r="G204" s="168"/>
      <c r="H204" s="124">
        <f>437.66054</f>
        <v>437.66054000000003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250.6214</f>
        <v>250.62139999999999</v>
      </c>
      <c r="F205" s="72">
        <f>1753.03074</f>
        <v>1753.0307399999999</v>
      </c>
      <c r="G205" s="72">
        <f>D205-F205</f>
        <v>1950.9692600000001</v>
      </c>
      <c r="H205" s="72">
        <f>1696.99191</f>
        <v>1696.99191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441.71104000000003</v>
      </c>
      <c r="F206" s="190">
        <f>SUM(F202,F205)</f>
        <v>3903.7853799999993</v>
      </c>
      <c r="G206" s="190">
        <f>D206-F206</f>
        <v>3002.2146200000007</v>
      </c>
      <c r="H206" s="190">
        <f>SUM(H202,H205)</f>
        <v>3182.2169000000004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300.0292</v>
      </c>
      <c r="F215" s="72">
        <f>F216+F217</f>
        <v>2732.8898099999992</v>
      </c>
      <c r="G215" s="72">
        <f>D215-F215</f>
        <v>2783.1101900000008</v>
      </c>
      <c r="H215" s="72">
        <f>H216+H217</f>
        <v>1348.6481900000001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295.8967</f>
        <v>295.89670000000001</v>
      </c>
      <c r="F216" s="72">
        <f>2470.49236</f>
        <v>2470.4923600000002</v>
      </c>
      <c r="G216" s="72"/>
      <c r="H216" s="72">
        <f>1110.0053</f>
        <v>1110.0053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4.1325</f>
        <v>4.1325000000000003</v>
      </c>
      <c r="F217" s="124">
        <f>262.397449999999</f>
        <v>262.39744999999903</v>
      </c>
      <c r="G217" s="168"/>
      <c r="H217" s="124">
        <f>238.64289</f>
        <v>238.64288999999999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143.0884</f>
        <v>143.08840000000001</v>
      </c>
      <c r="F218" s="72">
        <f>1505.59785</f>
        <v>1505.5978500000001</v>
      </c>
      <c r="G218" s="72">
        <f>D218-F218</f>
        <v>1726.4021499999999</v>
      </c>
      <c r="H218" s="72">
        <f>1027.93785000002</f>
        <v>1027.93785000002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443.11760000000004</v>
      </c>
      <c r="F219" s="190">
        <f>SUM(F215,F218)</f>
        <v>4238.4876599999989</v>
      </c>
      <c r="G219" s="190">
        <f>D219-F219</f>
        <v>4509.5123400000011</v>
      </c>
      <c r="H219" s="190">
        <f>SUM(H215,H218)</f>
        <v>2376.5860400000201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1.6697</f>
        <v>1.6697</v>
      </c>
      <c r="F237" s="124">
        <f>53.1712100000001</f>
        <v>53.171210000000102</v>
      </c>
      <c r="G237" s="124">
        <f>D237-F237</f>
        <v>746.82878999999991</v>
      </c>
      <c r="H237" s="124">
        <f>134.68241</f>
        <v>134.68241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12.35232</f>
        <v>12.352320000000001</v>
      </c>
      <c r="F238" s="124">
        <f>156.922369999999</f>
        <v>156.92236999999901</v>
      </c>
      <c r="G238" s="124">
        <f>D238-F238</f>
        <v>549.07763000000102</v>
      </c>
      <c r="H238" s="124">
        <f>238.771609999999</f>
        <v>238.77160999999899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0.045</f>
        <v>4.4999999999999998E-2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0.03</f>
        <v>0.03</v>
      </c>
      <c r="F240" s="168">
        <f>0.075</f>
        <v>7.4999999999999997E-2</v>
      </c>
      <c r="G240" s="124">
        <f>D240-F240</f>
        <v>-7.4999999999999997E-2</v>
      </c>
      <c r="H240" s="168">
        <f>0.018</f>
        <v>1.7999999999999999E-2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14.097020000000001</v>
      </c>
      <c r="F241" s="190">
        <f>SUM(F237:F240)</f>
        <v>210.2135799999991</v>
      </c>
      <c r="G241" s="190">
        <f>D241-F241</f>
        <v>1305.7864200000008</v>
      </c>
      <c r="H241" s="190">
        <f>H237+H238+H239+H240</f>
        <v>373.52615999999898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66.671639999999996</v>
      </c>
      <c r="G262" s="280">
        <f t="shared" si="15"/>
        <v>958.50866000000019</v>
      </c>
      <c r="H262" s="280">
        <f>H266+H265+H264+H263</f>
        <v>17881.49134</v>
      </c>
      <c r="I262" s="280">
        <f t="shared" si="15"/>
        <v>1841.8128399999998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180.53577</f>
        <v>180.53577000000001</v>
      </c>
      <c r="H263" s="284">
        <f t="shared" ref="H263:H268" si="16">E263-G263</f>
        <v>9994.4642299999996</v>
      </c>
      <c r="I263" s="284">
        <f>655.60719</f>
        <v>655.60718999999995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18.09</f>
        <v>18.09</v>
      </c>
      <c r="H264" s="284">
        <f t="shared" si="16"/>
        <v>2630.91</v>
      </c>
      <c r="I264" s="284">
        <f>124.4025</f>
        <v>124.4025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18.80724</f>
        <v>18.80724</v>
      </c>
      <c r="G265" s="284">
        <f>554.04353</f>
        <v>554.04353000000003</v>
      </c>
      <c r="H265" s="284">
        <f t="shared" si="16"/>
        <v>852.95646999999997</v>
      </c>
      <c r="I265" s="284">
        <f>574.21556</f>
        <v>574.21555999999998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47.8644</f>
        <v>47.864400000000003</v>
      </c>
      <c r="G266" s="284">
        <f>205.83936</f>
        <v>205.83936</v>
      </c>
      <c r="H266" s="284">
        <f t="shared" si="16"/>
        <v>4403.1606400000001</v>
      </c>
      <c r="I266" s="284">
        <f>487.58759</f>
        <v>487.58758999999998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411.676</f>
        <v>411.67599999999999</v>
      </c>
      <c r="G267" s="294">
        <f>638.098</f>
        <v>638.09799999999996</v>
      </c>
      <c r="H267" s="294">
        <f t="shared" si="16"/>
        <v>4861.902</v>
      </c>
      <c r="I267" s="294">
        <f>426.66906</f>
        <v>426.66906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16.015619999999998</v>
      </c>
      <c r="G268" s="295">
        <f>G270+G269</f>
        <v>864.99961000000098</v>
      </c>
      <c r="H268" s="295">
        <f t="shared" si="16"/>
        <v>7135.0003899999992</v>
      </c>
      <c r="I268" s="295">
        <f>I270+I269</f>
        <v>1067.0717000000011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328.72877</f>
        <v>328.72877</v>
      </c>
      <c r="H269" s="284"/>
      <c r="I269" s="284">
        <f>447.26843</f>
        <v>447.26843000000002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16.01562</f>
        <v>16.015619999999998</v>
      </c>
      <c r="G270" s="303">
        <f>536.270840000001</f>
        <v>536.27084000000104</v>
      </c>
      <c r="H270" s="303"/>
      <c r="I270" s="303">
        <f>619.803270000001</f>
        <v>619.80327000000102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0.1476</f>
        <v>0.14760000000000001</v>
      </c>
      <c r="G272" s="294">
        <f>4.10439</f>
        <v>4.1043900000000004</v>
      </c>
      <c r="H272" s="294">
        <f>E272-G272</f>
        <v>-4.1043900000000004</v>
      </c>
      <c r="I272" s="294">
        <f>3.96284</f>
        <v>3.9628399999999999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494.51085999999998</v>
      </c>
      <c r="G273" s="312">
        <f t="shared" si="17"/>
        <v>2465.7106600000011</v>
      </c>
      <c r="H273" s="312">
        <f>H262+H267+H268+H271+H272</f>
        <v>29887.289340000003</v>
      </c>
      <c r="I273" s="312">
        <f t="shared" si="17"/>
        <v>3339.5299400000013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928.6079299999999</v>
      </c>
      <c r="G294" s="82">
        <f>D294-F294</f>
        <v>-149.6079299999999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687.69675</f>
        <v>687.69674999999995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646.34609999999998</v>
      </c>
      <c r="G297" s="82">
        <f>D297-F297</f>
        <v>132.65390000000002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507.218</f>
        <v>507.21800000000002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45.715900000000005</v>
      </c>
      <c r="F300" s="34">
        <f>SUM(F301:F302)</f>
        <v>295.15965</v>
      </c>
      <c r="G300" s="82">
        <f>D300-F300</f>
        <v>484.84035</v>
      </c>
      <c r="H300" s="34">
        <f>SUM(H301:H302)</f>
        <v>424.26776999999998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32.6955</f>
        <v>32.695500000000003</v>
      </c>
      <c r="F301" s="29">
        <f>218.4638</f>
        <v>218.46379999999999</v>
      </c>
      <c r="G301" s="94"/>
      <c r="H301" s="29">
        <f>283.67708</f>
        <v>283.67707999999999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13.0204</f>
        <v>13.0204</v>
      </c>
      <c r="F302" s="29">
        <f>76.69585</f>
        <v>76.695849999999993</v>
      </c>
      <c r="G302" s="105"/>
      <c r="H302" s="29">
        <f>140.59069</f>
        <v>140.59069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45.715900000000005</v>
      </c>
      <c r="F304" s="39">
        <f>F294+F297+F300+F303</f>
        <v>1870.1136799999999</v>
      </c>
      <c r="G304" s="40">
        <f>D304-F304</f>
        <v>467.88632000000007</v>
      </c>
      <c r="H304" s="39">
        <f>H294+H297+H300+H303</f>
        <v>2438.7849000000001</v>
      </c>
      <c r="I304" s="26"/>
      <c r="J304" s="127"/>
    </row>
    <row r="305" spans="1:10" ht="42" customHeight="1" x14ac:dyDescent="0.3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133</v>
      </c>
      <c r="D322" s="237">
        <v>238</v>
      </c>
      <c r="E322" s="29">
        <f>5.25273</f>
        <v>5.2527299999999997</v>
      </c>
      <c r="F322" s="29">
        <f>62.7765799999998</f>
        <v>62.776579999999797</v>
      </c>
      <c r="G322" s="238">
        <f>D322-F322</f>
        <v>175.2234200000002</v>
      </c>
      <c r="H322" s="29">
        <f>73.8996299999997</f>
        <v>73.899629999999704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10.33594</f>
        <v>10.335940000000001</v>
      </c>
      <c r="F323" s="29">
        <f>202.47494</f>
        <v>202.47494</v>
      </c>
      <c r="G323" s="241">
        <f>D323-F323</f>
        <v>21034.52506</v>
      </c>
      <c r="H323" s="29">
        <f>190.42961</f>
        <v>190.42961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15.58867</v>
      </c>
      <c r="F324" s="39">
        <f>F323+F322</f>
        <v>265.2515199999998</v>
      </c>
      <c r="G324" s="39">
        <f>G323+G322</f>
        <v>21209.748479999998</v>
      </c>
      <c r="H324" s="39">
        <f>H323+H322</f>
        <v>264.32923999999969</v>
      </c>
      <c r="I324" s="26"/>
      <c r="J324" s="127"/>
    </row>
    <row r="325" spans="1:10" ht="22.5" customHeight="1" x14ac:dyDescent="0.3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16&amp;R21.04.2026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2026-04-21T17:29:02Z</dcterms:modified>
</cp:coreProperties>
</file>