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5\"/>
    </mc:Choice>
  </mc:AlternateContent>
  <xr:revisionPtr revIDLastSave="0" documentId="13_ncr:1_{56F13C3C-5702-4A85-9470-84894A30D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H125" i="1" s="1"/>
  <c r="G124" i="1"/>
  <c r="H124" i="1" s="1"/>
  <c r="G123" i="1"/>
  <c r="G119" i="1"/>
  <c r="H345" i="1"/>
  <c r="F345" i="1"/>
  <c r="E345" i="1"/>
  <c r="D345" i="1"/>
  <c r="G344" i="1"/>
  <c r="G345" i="1" s="1"/>
  <c r="G343" i="1"/>
  <c r="E336" i="1"/>
  <c r="D324" i="1"/>
  <c r="H323" i="1"/>
  <c r="H324" i="1" s="1"/>
  <c r="G323" i="1"/>
  <c r="F323" i="1"/>
  <c r="E323" i="1"/>
  <c r="H322" i="1"/>
  <c r="F322" i="1"/>
  <c r="G322" i="1" s="1"/>
  <c r="E322" i="1"/>
  <c r="E324" i="1" s="1"/>
  <c r="E315" i="1"/>
  <c r="D304" i="1"/>
  <c r="H303" i="1"/>
  <c r="G303" i="1"/>
  <c r="F303" i="1"/>
  <c r="E303" i="1"/>
  <c r="H302" i="1"/>
  <c r="F302" i="1"/>
  <c r="E302" i="1"/>
  <c r="E300" i="1" s="1"/>
  <c r="H301" i="1"/>
  <c r="H300" i="1" s="1"/>
  <c r="F301" i="1"/>
  <c r="F300" i="1" s="1"/>
  <c r="G300" i="1" s="1"/>
  <c r="E301" i="1"/>
  <c r="H299" i="1"/>
  <c r="F299" i="1"/>
  <c r="F297" i="1" s="1"/>
  <c r="G297" i="1" s="1"/>
  <c r="E299" i="1"/>
  <c r="H298" i="1"/>
  <c r="F298" i="1"/>
  <c r="E298" i="1"/>
  <c r="E297" i="1" s="1"/>
  <c r="H297" i="1"/>
  <c r="H296" i="1"/>
  <c r="F296" i="1"/>
  <c r="E296" i="1"/>
  <c r="H295" i="1"/>
  <c r="H294" i="1" s="1"/>
  <c r="F295" i="1"/>
  <c r="F294" i="1" s="1"/>
  <c r="E295" i="1"/>
  <c r="E294" i="1" s="1"/>
  <c r="E304" i="1" s="1"/>
  <c r="E273" i="1"/>
  <c r="D273" i="1"/>
  <c r="I272" i="1"/>
  <c r="G272" i="1"/>
  <c r="H272" i="1" s="1"/>
  <c r="F272" i="1"/>
  <c r="I271" i="1"/>
  <c r="G271" i="1"/>
  <c r="H271" i="1" s="1"/>
  <c r="F271" i="1"/>
  <c r="I270" i="1"/>
  <c r="I268" i="1" s="1"/>
  <c r="G270" i="1"/>
  <c r="G268" i="1" s="1"/>
  <c r="H268" i="1" s="1"/>
  <c r="F270" i="1"/>
  <c r="I269" i="1"/>
  <c r="G269" i="1"/>
  <c r="F269" i="1"/>
  <c r="F268" i="1"/>
  <c r="I267" i="1"/>
  <c r="G267" i="1"/>
  <c r="H267" i="1" s="1"/>
  <c r="F267" i="1"/>
  <c r="I266" i="1"/>
  <c r="I262" i="1" s="1"/>
  <c r="I273" i="1" s="1"/>
  <c r="H266" i="1"/>
  <c r="H262" i="1" s="1"/>
  <c r="G266" i="1"/>
  <c r="G262" i="1" s="1"/>
  <c r="G273" i="1" s="1"/>
  <c r="F266" i="1"/>
  <c r="I265" i="1"/>
  <c r="H265" i="1"/>
  <c r="G265" i="1"/>
  <c r="F265" i="1"/>
  <c r="I264" i="1"/>
  <c r="H264" i="1"/>
  <c r="G264" i="1"/>
  <c r="F264" i="1"/>
  <c r="I263" i="1"/>
  <c r="G263" i="1"/>
  <c r="H263" i="1" s="1"/>
  <c r="F263" i="1"/>
  <c r="F262" i="1" s="1"/>
  <c r="F273" i="1" s="1"/>
  <c r="E262" i="1"/>
  <c r="D262" i="1"/>
  <c r="H254" i="1"/>
  <c r="F254" i="1"/>
  <c r="D251" i="1"/>
  <c r="D250" i="1"/>
  <c r="E241" i="1"/>
  <c r="D241" i="1"/>
  <c r="G241" i="1" s="1"/>
  <c r="H240" i="1"/>
  <c r="F240" i="1"/>
  <c r="G240" i="1" s="1"/>
  <c r="E240" i="1"/>
  <c r="H239" i="1"/>
  <c r="F239" i="1"/>
  <c r="F241" i="1" s="1"/>
  <c r="E239" i="1"/>
  <c r="H238" i="1"/>
  <c r="F238" i="1"/>
  <c r="G238" i="1" s="1"/>
  <c r="E238" i="1"/>
  <c r="H237" i="1"/>
  <c r="H241" i="1" s="1"/>
  <c r="G237" i="1"/>
  <c r="F237" i="1"/>
  <c r="E237" i="1"/>
  <c r="D230" i="1"/>
  <c r="D219" i="1"/>
  <c r="H218" i="1"/>
  <c r="F218" i="1"/>
  <c r="G218" i="1" s="1"/>
  <c r="E218" i="1"/>
  <c r="H217" i="1"/>
  <c r="F217" i="1"/>
  <c r="E217" i="1"/>
  <c r="H216" i="1"/>
  <c r="H215" i="1" s="1"/>
  <c r="H219" i="1" s="1"/>
  <c r="F216" i="1"/>
  <c r="E216" i="1"/>
  <c r="E215" i="1" s="1"/>
  <c r="E219" i="1" s="1"/>
  <c r="F215" i="1"/>
  <c r="F219" i="1" s="1"/>
  <c r="G219" i="1" s="1"/>
  <c r="D206" i="1"/>
  <c r="H205" i="1"/>
  <c r="F205" i="1"/>
  <c r="G205" i="1" s="1"/>
  <c r="E205" i="1"/>
  <c r="H204" i="1"/>
  <c r="F204" i="1"/>
  <c r="E204" i="1"/>
  <c r="H203" i="1"/>
  <c r="H202" i="1" s="1"/>
  <c r="H206" i="1" s="1"/>
  <c r="F203" i="1"/>
  <c r="E203" i="1"/>
  <c r="F202" i="1"/>
  <c r="F206" i="1" s="1"/>
  <c r="E202" i="1"/>
  <c r="E206" i="1" s="1"/>
  <c r="E192" i="1"/>
  <c r="D192" i="1"/>
  <c r="I191" i="1"/>
  <c r="H191" i="1"/>
  <c r="G191" i="1"/>
  <c r="F191" i="1"/>
  <c r="I190" i="1"/>
  <c r="G190" i="1"/>
  <c r="H190" i="1" s="1"/>
  <c r="F190" i="1"/>
  <c r="I189" i="1"/>
  <c r="I192" i="1" s="1"/>
  <c r="G189" i="1"/>
  <c r="H189" i="1" s="1"/>
  <c r="F189" i="1"/>
  <c r="F192" i="1" s="1"/>
  <c r="D169" i="1"/>
  <c r="H168" i="1"/>
  <c r="F168" i="1"/>
  <c r="G168" i="1" s="1"/>
  <c r="E168" i="1"/>
  <c r="H167" i="1"/>
  <c r="G167" i="1"/>
  <c r="F167" i="1"/>
  <c r="E167" i="1"/>
  <c r="H166" i="1"/>
  <c r="F166" i="1"/>
  <c r="E166" i="1"/>
  <c r="H165" i="1"/>
  <c r="F165" i="1"/>
  <c r="F163" i="1" s="1"/>
  <c r="G163" i="1" s="1"/>
  <c r="E165" i="1"/>
  <c r="H164" i="1"/>
  <c r="F164" i="1"/>
  <c r="E164" i="1"/>
  <c r="E163" i="1" s="1"/>
  <c r="E169" i="1" s="1"/>
  <c r="H163" i="1"/>
  <c r="H162" i="1"/>
  <c r="G162" i="1"/>
  <c r="F162" i="1"/>
  <c r="E162" i="1"/>
  <c r="H161" i="1"/>
  <c r="H169" i="1" s="1"/>
  <c r="F161" i="1"/>
  <c r="F169" i="1" s="1"/>
  <c r="G169" i="1" s="1"/>
  <c r="E161" i="1"/>
  <c r="H160" i="1"/>
  <c r="F160" i="1"/>
  <c r="G160" i="1" s="1"/>
  <c r="E160" i="1"/>
  <c r="E137" i="1"/>
  <c r="I135" i="1"/>
  <c r="G135" i="1"/>
  <c r="H135" i="1" s="1"/>
  <c r="F135" i="1"/>
  <c r="I134" i="1"/>
  <c r="G134" i="1"/>
  <c r="H134" i="1" s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H129" i="1"/>
  <c r="G129" i="1"/>
  <c r="F129" i="1"/>
  <c r="I128" i="1"/>
  <c r="H128" i="1"/>
  <c r="G128" i="1"/>
  <c r="F128" i="1"/>
  <c r="I127" i="1"/>
  <c r="I126" i="1" s="1"/>
  <c r="H127" i="1"/>
  <c r="H126" i="1" s="1"/>
  <c r="G127" i="1"/>
  <c r="F127" i="1"/>
  <c r="G126" i="1"/>
  <c r="F126" i="1"/>
  <c r="E126" i="1"/>
  <c r="D126" i="1"/>
  <c r="I125" i="1"/>
  <c r="F125" i="1"/>
  <c r="I124" i="1"/>
  <c r="F124" i="1"/>
  <c r="I123" i="1"/>
  <c r="H123" i="1"/>
  <c r="F123" i="1"/>
  <c r="F121" i="1" s="1"/>
  <c r="F120" i="1" s="1"/>
  <c r="I122" i="1"/>
  <c r="I121" i="1" s="1"/>
  <c r="I120" i="1" s="1"/>
  <c r="H122" i="1"/>
  <c r="G122" i="1"/>
  <c r="F122" i="1"/>
  <c r="E121" i="1"/>
  <c r="D121" i="1"/>
  <c r="E120" i="1"/>
  <c r="D120" i="1"/>
  <c r="I119" i="1"/>
  <c r="H119" i="1"/>
  <c r="F119" i="1"/>
  <c r="I118" i="1"/>
  <c r="H118" i="1"/>
  <c r="G118" i="1"/>
  <c r="F118" i="1"/>
  <c r="I117" i="1"/>
  <c r="G117" i="1"/>
  <c r="H117" i="1" s="1"/>
  <c r="F117" i="1"/>
  <c r="F115" i="1" s="1"/>
  <c r="F137" i="1" s="1"/>
  <c r="I116" i="1"/>
  <c r="I115" i="1" s="1"/>
  <c r="I137" i="1" s="1"/>
  <c r="H116" i="1"/>
  <c r="H115" i="1" s="1"/>
  <c r="G116" i="1"/>
  <c r="F116" i="1"/>
  <c r="E115" i="1"/>
  <c r="D115" i="1"/>
  <c r="D137" i="1" s="1"/>
  <c r="C113" i="1"/>
  <c r="I93" i="1"/>
  <c r="G93" i="1"/>
  <c r="H93" i="1" s="1"/>
  <c r="F93" i="1"/>
  <c r="I92" i="1"/>
  <c r="G92" i="1"/>
  <c r="H92" i="1" s="1"/>
  <c r="F92" i="1"/>
  <c r="I91" i="1"/>
  <c r="G91" i="1"/>
  <c r="H91" i="1" s="1"/>
  <c r="F91" i="1"/>
  <c r="I90" i="1"/>
  <c r="G90" i="1"/>
  <c r="H90" i="1" s="1"/>
  <c r="F90" i="1"/>
  <c r="I89" i="1"/>
  <c r="G89" i="1"/>
  <c r="H89" i="1" s="1"/>
  <c r="F89" i="1"/>
  <c r="I88" i="1"/>
  <c r="G88" i="1"/>
  <c r="H88" i="1" s="1"/>
  <c r="F88" i="1"/>
  <c r="I87" i="1"/>
  <c r="H87" i="1"/>
  <c r="G87" i="1"/>
  <c r="F87" i="1"/>
  <c r="I86" i="1"/>
  <c r="G86" i="1"/>
  <c r="H86" i="1" s="1"/>
  <c r="F86" i="1"/>
  <c r="I85" i="1"/>
  <c r="G85" i="1"/>
  <c r="H85" i="1" s="1"/>
  <c r="F85" i="1"/>
  <c r="I84" i="1"/>
  <c r="I83" i="1" s="1"/>
  <c r="I82" i="1" s="1"/>
  <c r="G84" i="1"/>
  <c r="H84" i="1" s="1"/>
  <c r="F84" i="1"/>
  <c r="F83" i="1" s="1"/>
  <c r="F82" i="1" s="1"/>
  <c r="E83" i="1"/>
  <c r="D83" i="1"/>
  <c r="E82" i="1"/>
  <c r="D82" i="1"/>
  <c r="I81" i="1"/>
  <c r="I79" i="1" s="1"/>
  <c r="H81" i="1"/>
  <c r="H79" i="1" s="1"/>
  <c r="G81" i="1"/>
  <c r="G79" i="1" s="1"/>
  <c r="F81" i="1"/>
  <c r="F79" i="1" s="1"/>
  <c r="I80" i="1"/>
  <c r="G80" i="1"/>
  <c r="H80" i="1" s="1"/>
  <c r="F80" i="1"/>
  <c r="E79" i="1"/>
  <c r="E94" i="1" s="1"/>
  <c r="D79" i="1"/>
  <c r="D94" i="1" s="1"/>
  <c r="C76" i="1"/>
  <c r="H72" i="1"/>
  <c r="F72" i="1"/>
  <c r="D72" i="1"/>
  <c r="H58" i="1"/>
  <c r="H57" i="1"/>
  <c r="I52" i="1"/>
  <c r="G52" i="1"/>
  <c r="G31" i="1" s="1"/>
  <c r="H31" i="1" s="1"/>
  <c r="F52" i="1"/>
  <c r="E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I34" i="1"/>
  <c r="I33" i="1" s="1"/>
  <c r="G34" i="1"/>
  <c r="H34" i="1" s="1"/>
  <c r="F34" i="1"/>
  <c r="F33" i="1" s="1"/>
  <c r="E33" i="1"/>
  <c r="D33" i="1"/>
  <c r="I32" i="1"/>
  <c r="G32" i="1"/>
  <c r="H32" i="1" s="1"/>
  <c r="F32" i="1"/>
  <c r="I31" i="1"/>
  <c r="F31" i="1"/>
  <c r="I30" i="1"/>
  <c r="G30" i="1"/>
  <c r="H30" i="1" s="1"/>
  <c r="F30" i="1"/>
  <c r="I29" i="1"/>
  <c r="G29" i="1"/>
  <c r="H29" i="1" s="1"/>
  <c r="F29" i="1"/>
  <c r="I28" i="1"/>
  <c r="H28" i="1"/>
  <c r="G28" i="1"/>
  <c r="F28" i="1"/>
  <c r="I27" i="1"/>
  <c r="G27" i="1"/>
  <c r="F27" i="1"/>
  <c r="E26" i="1"/>
  <c r="D26" i="1"/>
  <c r="D25" i="1" s="1"/>
  <c r="D42" i="1" s="1"/>
  <c r="E25" i="1"/>
  <c r="I24" i="1"/>
  <c r="G24" i="1"/>
  <c r="G22" i="1" s="1"/>
  <c r="F24" i="1"/>
  <c r="I23" i="1"/>
  <c r="G23" i="1"/>
  <c r="H23" i="1" s="1"/>
  <c r="F23" i="1"/>
  <c r="F22" i="1" s="1"/>
  <c r="I22" i="1"/>
  <c r="E22" i="1"/>
  <c r="D22" i="1"/>
  <c r="H16" i="1"/>
  <c r="F16" i="1"/>
  <c r="D16" i="1"/>
  <c r="I26" i="1" l="1"/>
  <c r="F26" i="1"/>
  <c r="F25" i="1" s="1"/>
  <c r="F42" i="1" s="1"/>
  <c r="I94" i="1"/>
  <c r="H304" i="1"/>
  <c r="G324" i="1"/>
  <c r="G206" i="1"/>
  <c r="H121" i="1"/>
  <c r="H120" i="1" s="1"/>
  <c r="H137" i="1" s="1"/>
  <c r="I25" i="1"/>
  <c r="I42" i="1" s="1"/>
  <c r="G294" i="1"/>
  <c r="F304" i="1"/>
  <c r="G304" i="1" s="1"/>
  <c r="H83" i="1"/>
  <c r="H82" i="1" s="1"/>
  <c r="H94" i="1" s="1"/>
  <c r="H273" i="1"/>
  <c r="G26" i="1"/>
  <c r="F94" i="1"/>
  <c r="H52" i="1"/>
  <c r="G121" i="1"/>
  <c r="G120" i="1" s="1"/>
  <c r="G215" i="1"/>
  <c r="G239" i="1"/>
  <c r="H27" i="1"/>
  <c r="H26" i="1" s="1"/>
  <c r="G115" i="1"/>
  <c r="G83" i="1"/>
  <c r="G82" i="1" s="1"/>
  <c r="G94" i="1" s="1"/>
  <c r="F324" i="1"/>
  <c r="G192" i="1"/>
  <c r="H192" i="1" s="1"/>
  <c r="H24" i="1"/>
  <c r="H22" i="1" s="1"/>
  <c r="G33" i="1"/>
  <c r="G202" i="1"/>
  <c r="G137" i="1" l="1"/>
  <c r="G25" i="1"/>
  <c r="G42" i="1" s="1"/>
  <c r="H33" i="1"/>
  <c r="H25" i="1" s="1"/>
  <c r="H42" i="1" s="1"/>
</calcChain>
</file>

<file path=xl/sharedStrings.xml><?xml version="1.0" encoding="utf-8"?>
<sst xmlns="http://schemas.openxmlformats.org/spreadsheetml/2006/main" count="393" uniqueCount="166">
  <si>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</si>
  <si>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</si>
  <si>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</si>
  <si>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</si>
  <si>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</si>
  <si>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</si>
  <si>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</si>
  <si>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</si>
  <si>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</si>
  <si>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</si>
  <si>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</si>
  <si>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</si>
  <si>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</si>
  <si>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</si>
  <si>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</si>
  <si>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</si>
  <si>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</si>
  <si>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</si>
  <si>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</si>
  <si>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</si>
  <si>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</si>
  <si>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</si>
  <si>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</si>
  <si>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</si>
  <si>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</si>
  <si>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</si>
  <si>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</si>
  <si>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</si>
  <si>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</si>
  <si>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</si>
  <si>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</si>
  <si>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</si>
  <si>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</si>
  <si>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</si>
  <si>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</si>
  <si>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</si>
  <si>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</si>
  <si>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</si>
  <si>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</si>
  <si>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</si>
  <si>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</si>
  <si>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</si>
  <si>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</si>
  <si>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</si>
  <si>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</si>
  <si>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</si>
  <si>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</si>
  <si>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</si>
  <si>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</si>
  <si>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</si>
  <si>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</si>
  <si>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</si>
  <si>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</si>
  <si>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</si>
  <si>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</si>
  <si>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</si>
  <si>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</si>
  <si>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</si>
  <si>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</si>
  <si>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</si>
  <si>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</si>
  <si>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</si>
  <si>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</si>
  <si>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</si>
  <si>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</si>
  <si>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</si>
  <si>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</si>
  <si>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</si>
  <si>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</si>
  <si>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</si>
  <si>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</si>
  <si>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</si>
  <si>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</si>
  <si>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</si>
  <si>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</si>
  <si>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</si>
  <si>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</si>
  <si>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</si>
  <si>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</si>
  <si>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</si>
  <si>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</si>
  <si>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</si>
  <si>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</si>
  <si>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</si>
  <si>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</si>
  <si>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</si>
  <si>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</si>
  <si>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</si>
  <si>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</si>
  <si>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</si>
  <si>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</si>
  <si>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</si>
  <si>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</si>
  <si>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</si>
  <si>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</si>
  <si>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</si>
  <si>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</si>
  <si>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</si>
  <si>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</si>
  <si>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</si>
  <si>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</si>
  <si>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</si>
  <si>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</si>
  <si>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</si>
  <si>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</si>
  <si>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</si>
  <si>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</si>
  <si>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</si>
  <si>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</si>
  <si>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</si>
  <si>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</si>
  <si>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</si>
  <si>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</si>
  <si>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</si>
  <si>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</si>
  <si>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</si>
  <si>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</si>
  <si>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</si>
  <si>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</si>
  <si>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</si>
  <si>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</si>
  <si>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</si>
  <si>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</si>
  <si>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</si>
  <si>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</si>
  <si>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</si>
  <si>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</si>
  <si>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</si>
  <si>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</si>
  <si>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</si>
  <si>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</si>
  <si>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</si>
  <si>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</si>
  <si>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</si>
  <si>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</si>
  <si>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</si>
  <si>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</si>
  <si>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</si>
  <si>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</si>
  <si>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</si>
  <si>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</si>
  <si>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</si>
  <si>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</si>
  <si>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</si>
  <si>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</si>
  <si>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</si>
  <si>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</si>
  <si>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</si>
  <si>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</si>
  <si>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</si>
  <si>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</si>
  <si>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</si>
  <si>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</si>
  <si>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</si>
  <si>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</si>
  <si>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</si>
  <si>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</si>
  <si>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</si>
  <si>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51 tonn, men det legges til grunn at hele avsetningen tas</t>
  </si>
  <si>
    <t>4 Registrert rekreasjonsfiske utgjør 390 tonn, men det legges til grunn at hele avsetningen tas</t>
  </si>
  <si>
    <t>3 Registrert rekreasjonsfiske utgjør 751 tonn, men det legges til grunn at hele avsetningen tas</t>
  </si>
  <si>
    <t>FANGST UKE 40</t>
  </si>
  <si>
    <t>FANGST T.O.M UKE 40</t>
  </si>
  <si>
    <t>RESTKVOTER UKE 40</t>
  </si>
  <si>
    <t>FANGST T.O.M UKE 40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</si>
  <si>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3 005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</si>
</sst>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2" fillId="0" borderId="3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view="pageLayout" topLeftCell="A5" zoomScale="85" zoomScaleNormal="85" zoomScaleSheetLayoutView="100" zoomScalePageLayoutView="85" workbookViewId="0">
      <selection activeCell="K10" sqref="K10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27" t="s">
        <v>120</v>
      </c>
      <c r="C2" s="328"/>
      <c r="D2" s="328"/>
      <c r="E2" s="328"/>
      <c r="F2" s="328"/>
      <c r="G2" s="328"/>
      <c r="H2" s="328"/>
      <c r="I2" s="328"/>
      <c r="J2" s="329"/>
    </row>
    <row r="3" spans="1:10" ht="14.85" customHeight="1" x14ac:dyDescent="0.2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17" t="s">
        <v>139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48.529499999999999</v>
      </c>
      <c r="G22" s="27">
        <f t="shared" si="0"/>
        <v>27838.99986</v>
      </c>
      <c r="H22" s="10">
        <f t="shared" si="0"/>
        <v>13747.00014</v>
      </c>
      <c r="I22" s="10">
        <f t="shared" si="0"/>
        <v>43504.641410000004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48.5295</f>
        <v>48.529499999999999</v>
      </c>
      <c r="G23" s="22">
        <f>27395.82921</f>
        <v>27395.82921</v>
      </c>
      <c r="H23" s="22">
        <f>E23-G23</f>
        <v>13427.17079</v>
      </c>
      <c r="I23" s="22">
        <f>42977.81033</f>
        <v>42977.81033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443.17065</f>
        <v>443.17065000000002</v>
      </c>
      <c r="H24" s="22">
        <f>E24-G24</f>
        <v>319.82934999999998</v>
      </c>
      <c r="I24" s="22">
        <f>526.83108</f>
        <v>526.83108000000004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306.89801</v>
      </c>
      <c r="G25" s="10">
        <f t="shared" si="1"/>
        <v>106397.21244999999</v>
      </c>
      <c r="H25" s="10">
        <f t="shared" si="1"/>
        <v>15270.787549999999</v>
      </c>
      <c r="I25" s="10">
        <f t="shared" si="1"/>
        <v>125676.98565000002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257.65789000000001</v>
      </c>
      <c r="G26" s="129">
        <f>G27+G28+G29+G30+G31</f>
        <v>85418.069329999998</v>
      </c>
      <c r="H26" s="129">
        <f t="shared" ref="H26:I26" si="2">H27+H28+H29+H30+H31</f>
        <v>9474.9306699999997</v>
      </c>
      <c r="I26" s="129">
        <f t="shared" si="2"/>
        <v>102290.68331000001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93.60781 - F53</f>
        <v>37.607810000000001</v>
      </c>
      <c r="G27" s="123">
        <f>23308.92408 - G53</f>
        <v>22753.924080000001</v>
      </c>
      <c r="H27" s="123">
        <f t="shared" ref="H27:H39" si="3">E27-G27</f>
        <v>2399.0759199999993</v>
      </c>
      <c r="I27" s="123">
        <f>26583.47899 - I53</f>
        <v>25856.47899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96.0777 - F54</f>
        <v>32.077699999999993</v>
      </c>
      <c r="G28" s="123">
        <f>23513.52147 - G54</f>
        <v>22595.52147</v>
      </c>
      <c r="H28" s="123">
        <f t="shared" si="3"/>
        <v>1398.4785300000003</v>
      </c>
      <c r="I28" s="123">
        <f>28926.67617 - I54</f>
        <v>27871.676169999999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44.82016 - F55</f>
        <v>-14.179839999999999</v>
      </c>
      <c r="G29" s="123">
        <f>22500.64184 - G55</f>
        <v>21368.64184</v>
      </c>
      <c r="H29" s="123">
        <f t="shared" si="3"/>
        <v>501.35815999999977</v>
      </c>
      <c r="I29" s="123">
        <f>26825.90692 - I55</f>
        <v>25660.906920000001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23.15222 - F56</f>
        <v>-3.8477800000000002</v>
      </c>
      <c r="G30" s="123">
        <f>16094.98194 - G56</f>
        <v>15426.98194</v>
      </c>
      <c r="H30" s="123">
        <f t="shared" si="3"/>
        <v>218.01806000000033</v>
      </c>
      <c r="I30" s="123">
        <f>19954.62123 - I56</f>
        <v>18964.621230000001</v>
      </c>
      <c r="J30" s="63"/>
    </row>
    <row r="31" spans="1:10" ht="14.1" customHeight="1" x14ac:dyDescent="0.25">
      <c r="A31" s="192"/>
      <c r="B31" s="176"/>
      <c r="C31" s="60" t="s">
        <v>156</v>
      </c>
      <c r="D31" s="61">
        <v>7872</v>
      </c>
      <c r="E31" s="61">
        <v>8231</v>
      </c>
      <c r="F31" s="123">
        <f>F52</f>
        <v>206</v>
      </c>
      <c r="G31" s="123">
        <f>G52</f>
        <v>3273</v>
      </c>
      <c r="H31" s="123">
        <f>E31-G31</f>
        <v>4958</v>
      </c>
      <c r="I31" s="123">
        <f>I52</f>
        <v>3937</v>
      </c>
      <c r="J31" s="63"/>
    </row>
    <row r="32" spans="1:10" ht="14.1" customHeight="1" x14ac:dyDescent="0.25">
      <c r="A32" s="64"/>
      <c r="B32" s="51"/>
      <c r="C32" s="54" t="s">
        <v>28</v>
      </c>
      <c r="D32" s="55">
        <v>12692</v>
      </c>
      <c r="E32" s="55">
        <v>13679</v>
      </c>
      <c r="F32" s="129">
        <f>0</f>
        <v>0</v>
      </c>
      <c r="G32" s="129">
        <f>9436.55679</f>
        <v>9436.5567900000005</v>
      </c>
      <c r="H32" s="129">
        <f t="shared" si="3"/>
        <v>4242.4432099999995</v>
      </c>
      <c r="I32" s="129">
        <f>11240.3758</f>
        <v>11240.3758</v>
      </c>
      <c r="J32" s="63"/>
    </row>
    <row r="33" spans="1:10" ht="14.1" customHeight="1" x14ac:dyDescent="0.2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49.240119999999997</v>
      </c>
      <c r="G33" s="129">
        <f>G34+G35</f>
        <v>11542.58633</v>
      </c>
      <c r="H33" s="129">
        <f t="shared" si="3"/>
        <v>1553.4136699999999</v>
      </c>
      <c r="I33" s="129">
        <f>I34+I35</f>
        <v>12145.92654</v>
      </c>
      <c r="J33" s="63"/>
    </row>
    <row r="34" spans="1:10" ht="14.1" customHeight="1" x14ac:dyDescent="0.25">
      <c r="A34" s="192"/>
      <c r="B34" s="176"/>
      <c r="C34" s="60" t="s">
        <v>30</v>
      </c>
      <c r="D34" s="61">
        <v>9874</v>
      </c>
      <c r="E34" s="61">
        <v>12136</v>
      </c>
      <c r="F34" s="123">
        <f>58.24012 - F57 - F58</f>
        <v>8.2401199999999974</v>
      </c>
      <c r="G34" s="129">
        <f>13653.58633 - G57 - G58</f>
        <v>11035.58633</v>
      </c>
      <c r="H34" s="123">
        <f t="shared" si="3"/>
        <v>1100.4136699999999</v>
      </c>
      <c r="I34" s="123">
        <f>14975.92654 - I57 - I58</f>
        <v>11666.92654</v>
      </c>
      <c r="J34" s="63"/>
    </row>
    <row r="35" spans="1:10" ht="14.1" customHeight="1" x14ac:dyDescent="0.2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41</v>
      </c>
      <c r="G35" s="67">
        <f>G57</f>
        <v>507</v>
      </c>
      <c r="H35" s="67">
        <f t="shared" si="3"/>
        <v>453</v>
      </c>
      <c r="I35" s="67">
        <f>I57</f>
        <v>479</v>
      </c>
      <c r="J35" s="63"/>
    </row>
    <row r="36" spans="1:10" ht="15.75" customHeight="1" x14ac:dyDescent="0.2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33</v>
      </c>
      <c r="D37" s="140">
        <v>855</v>
      </c>
      <c r="E37" s="140">
        <v>855</v>
      </c>
      <c r="F37" s="95">
        <f>0.015</f>
        <v>1.4999999999999999E-2</v>
      </c>
      <c r="G37" s="95">
        <f>590.31925</f>
        <v>590.31925000000001</v>
      </c>
      <c r="H37" s="95">
        <f t="shared" si="3"/>
        <v>264.68074999999999</v>
      </c>
      <c r="I37" s="95">
        <f>484.70248</f>
        <v>484.70247999999998</v>
      </c>
      <c r="J37" s="267"/>
    </row>
    <row r="38" spans="1:10" ht="17.25" customHeight="1" x14ac:dyDescent="0.2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9</v>
      </c>
      <c r="G38" s="95">
        <f>G58</f>
        <v>2111</v>
      </c>
      <c r="H38" s="95">
        <f t="shared" si="3"/>
        <v>889</v>
      </c>
      <c r="I38" s="95">
        <f>I58</f>
        <v>2830</v>
      </c>
      <c r="J38" s="267"/>
    </row>
    <row r="39" spans="1:10" ht="17.25" customHeight="1" x14ac:dyDescent="0.25">
      <c r="A39" s="1"/>
      <c r="B39" s="277"/>
      <c r="C39" s="70" t="s">
        <v>35</v>
      </c>
      <c r="D39" s="140">
        <v>7000</v>
      </c>
      <c r="E39" s="140">
        <v>7000</v>
      </c>
      <c r="F39" s="95">
        <f>1.63045</f>
        <v>1.63045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37</v>
      </c>
      <c r="D40" s="140">
        <v>450</v>
      </c>
      <c r="E40" s="140">
        <v>450</v>
      </c>
      <c r="F40" s="95">
        <f>0.1655</f>
        <v>0.16550000000000001</v>
      </c>
      <c r="G40" s="95">
        <f>384.21254</f>
        <v>384.21253999999999</v>
      </c>
      <c r="H40" s="95">
        <f>E40-G40</f>
        <v>65.78746000000001</v>
      </c>
      <c r="I40" s="95">
        <f>341.29712</f>
        <v>341.29712000000001</v>
      </c>
      <c r="J40" s="267"/>
    </row>
    <row r="41" spans="1:10" ht="14.1" customHeight="1" x14ac:dyDescent="0.2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101.50363</f>
        <v>101.50363</v>
      </c>
      <c r="H41" s="136">
        <f t="shared" ref="H41" si="4">E41-G41</f>
        <v>-101.50363</v>
      </c>
      <c r="I41" s="136">
        <f>85.52126</f>
        <v>85.521259999999998</v>
      </c>
      <c r="J41" s="267"/>
    </row>
    <row r="42" spans="1:10" ht="16.5" customHeight="1" x14ac:dyDescent="0.2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366.23845999999998</v>
      </c>
      <c r="G42" s="73">
        <f t="shared" si="5"/>
        <v>144703.50413000002</v>
      </c>
      <c r="H42" s="73">
        <f t="shared" si="5"/>
        <v>30855.495869999999</v>
      </c>
      <c r="I42" s="73">
        <f t="shared" si="5"/>
        <v>180271.50912000006</v>
      </c>
      <c r="J42" s="267"/>
    </row>
    <row r="43" spans="1:10" ht="14.1" customHeight="1" x14ac:dyDescent="0.2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155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0" t="s">
        <v>157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" customHeight="1" x14ac:dyDescent="0.25">
      <c r="A52" s="101"/>
      <c r="B52" s="24"/>
      <c r="C52" s="15" t="s">
        <v>42</v>
      </c>
      <c r="D52" s="321">
        <v>7872</v>
      </c>
      <c r="E52" s="321">
        <v>8231</v>
      </c>
      <c r="F52" s="10">
        <f>F56+F55+F54+F53</f>
        <v>206</v>
      </c>
      <c r="G52" s="10">
        <f>G56+G55+G54+G53</f>
        <v>3273</v>
      </c>
      <c r="H52" s="321">
        <f>E52-G52</f>
        <v>4958</v>
      </c>
      <c r="I52" s="10">
        <f>I56+I55+I54+I53</f>
        <v>3937</v>
      </c>
      <c r="J52" s="117"/>
    </row>
    <row r="53" spans="1:10" ht="14.1" customHeight="1" x14ac:dyDescent="0.25">
      <c r="A53" s="101"/>
      <c r="B53" s="24"/>
      <c r="C53" s="60" t="s">
        <v>24</v>
      </c>
      <c r="D53" s="322"/>
      <c r="E53" s="322"/>
      <c r="F53" s="123">
        <v>56</v>
      </c>
      <c r="G53" s="123">
        <v>555</v>
      </c>
      <c r="H53" s="322"/>
      <c r="I53" s="123">
        <v>727</v>
      </c>
      <c r="J53" s="117"/>
    </row>
    <row r="54" spans="1:10" ht="14.1" customHeight="1" x14ac:dyDescent="0.25">
      <c r="A54" s="101"/>
      <c r="B54" s="24"/>
      <c r="C54" s="60" t="s">
        <v>25</v>
      </c>
      <c r="D54" s="322"/>
      <c r="E54" s="322"/>
      <c r="F54" s="123">
        <v>64</v>
      </c>
      <c r="G54" s="123">
        <v>918</v>
      </c>
      <c r="H54" s="322"/>
      <c r="I54" s="123">
        <v>1055</v>
      </c>
      <c r="J54" s="267"/>
    </row>
    <row r="55" spans="1:10" ht="14.1" customHeight="1" x14ac:dyDescent="0.25">
      <c r="A55" s="101"/>
      <c r="B55" s="24"/>
      <c r="C55" s="60" t="s">
        <v>26</v>
      </c>
      <c r="D55" s="322"/>
      <c r="E55" s="322"/>
      <c r="F55" s="123">
        <v>59</v>
      </c>
      <c r="G55" s="123">
        <v>1132</v>
      </c>
      <c r="H55" s="322"/>
      <c r="I55" s="123">
        <v>1165</v>
      </c>
      <c r="J55" s="117"/>
    </row>
    <row r="56" spans="1:10" ht="14.1" customHeight="1" x14ac:dyDescent="0.25">
      <c r="A56" s="101"/>
      <c r="B56" s="24"/>
      <c r="C56" s="84" t="s">
        <v>27</v>
      </c>
      <c r="D56" s="323"/>
      <c r="E56" s="323"/>
      <c r="F56" s="186">
        <v>27</v>
      </c>
      <c r="G56" s="186">
        <v>668</v>
      </c>
      <c r="H56" s="323"/>
      <c r="I56" s="186">
        <v>990</v>
      </c>
      <c r="J56" s="117"/>
    </row>
    <row r="57" spans="1:10" ht="14.1" customHeight="1" x14ac:dyDescent="0.25">
      <c r="A57" s="101"/>
      <c r="B57" s="24"/>
      <c r="C57" s="85" t="s">
        <v>43</v>
      </c>
      <c r="D57" s="92">
        <v>960</v>
      </c>
      <c r="E57" s="92">
        <v>960</v>
      </c>
      <c r="F57" s="92">
        <v>41</v>
      </c>
      <c r="G57" s="92">
        <v>507</v>
      </c>
      <c r="H57" s="92">
        <f>E57-G57</f>
        <v>453</v>
      </c>
      <c r="I57" s="92">
        <v>479</v>
      </c>
      <c r="J57" s="267"/>
    </row>
    <row r="58" spans="1:10" ht="14.1" customHeight="1" x14ac:dyDescent="0.25">
      <c r="A58" s="101"/>
      <c r="B58" s="24"/>
      <c r="C58" s="139" t="s">
        <v>44</v>
      </c>
      <c r="D58" s="136">
        <v>3000</v>
      </c>
      <c r="E58" s="136">
        <v>3000</v>
      </c>
      <c r="F58" s="136">
        <v>9</v>
      </c>
      <c r="G58" s="136">
        <v>2111</v>
      </c>
      <c r="H58" s="136">
        <f>E58-G58</f>
        <v>889</v>
      </c>
      <c r="I58" s="136">
        <v>2830</v>
      </c>
      <c r="J58" s="117"/>
    </row>
    <row r="59" spans="1:10" ht="14.1" customHeight="1" x14ac:dyDescent="0.2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25">
      <c r="B69" s="277"/>
      <c r="C69" s="333" t="s">
        <v>80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140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8.9656000000000002</v>
      </c>
      <c r="G79" s="10">
        <f t="shared" si="6"/>
        <v>21184.137500000001</v>
      </c>
      <c r="H79" s="10">
        <f t="shared" si="6"/>
        <v>4956.8625000000011</v>
      </c>
      <c r="I79" s="10">
        <f t="shared" si="6"/>
        <v>23623.537679999998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8.9656</f>
        <v>8.9656000000000002</v>
      </c>
      <c r="G80" s="22">
        <f>20639.31728</f>
        <v>20639.317279999999</v>
      </c>
      <c r="H80" s="22">
        <f>E80-G80</f>
        <v>4676.6827200000007</v>
      </c>
      <c r="I80" s="22">
        <f>22829.56513</f>
        <v>22829.565129999999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544.82022</f>
        <v>544.82021999999995</v>
      </c>
      <c r="H81" s="48">
        <f>E81-G81</f>
        <v>280.17978000000005</v>
      </c>
      <c r="I81" s="48">
        <f>793.97255</f>
        <v>793.97254999999996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345.00769000000003</v>
      </c>
      <c r="G82" s="10">
        <f t="shared" si="7"/>
        <v>33824.238170000004</v>
      </c>
      <c r="H82" s="10">
        <f t="shared" si="7"/>
        <v>10304.761829999999</v>
      </c>
      <c r="I82" s="10">
        <f t="shared" si="7"/>
        <v>40051.630879999997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261.60200000000003</v>
      </c>
      <c r="G83" s="129">
        <f t="shared" si="8"/>
        <v>27176.2814</v>
      </c>
      <c r="H83" s="129">
        <f t="shared" si="8"/>
        <v>5328.7186000000002</v>
      </c>
      <c r="I83" s="129">
        <f t="shared" si="8"/>
        <v>32295.723829999999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102.23714</f>
        <v>102.23714</v>
      </c>
      <c r="G84" s="123">
        <f>3680.37574</f>
        <v>3680.37574</v>
      </c>
      <c r="H84" s="123">
        <f t="shared" ref="H84:H91" si="9">E84-G84</f>
        <v>5323.6242600000005</v>
      </c>
      <c r="I84" s="123">
        <f>5200.00988</f>
        <v>5200.0098799999996</v>
      </c>
      <c r="J84" s="267"/>
    </row>
    <row r="85" spans="1:10" ht="14.1" customHeight="1" x14ac:dyDescent="0.25">
      <c r="A85" s="192"/>
      <c r="B85" s="176"/>
      <c r="C85" s="60" t="s">
        <v>48</v>
      </c>
      <c r="D85" s="61">
        <v>8674</v>
      </c>
      <c r="E85" s="61">
        <v>9075</v>
      </c>
      <c r="F85" s="123">
        <f>87.18864</f>
        <v>87.188640000000007</v>
      </c>
      <c r="G85" s="123">
        <f>7223.49851</f>
        <v>7223.4985100000004</v>
      </c>
      <c r="H85" s="123">
        <f t="shared" si="9"/>
        <v>1851.5014899999996</v>
      </c>
      <c r="I85" s="123">
        <f>10448.03728</f>
        <v>10448.03728</v>
      </c>
      <c r="J85" s="267"/>
    </row>
    <row r="86" spans="1:10" ht="14.1" customHeight="1" x14ac:dyDescent="0.25">
      <c r="A86" s="192"/>
      <c r="B86" s="176"/>
      <c r="C86" s="60" t="s">
        <v>49</v>
      </c>
      <c r="D86" s="61">
        <v>8266</v>
      </c>
      <c r="E86" s="61">
        <v>8649</v>
      </c>
      <c r="F86" s="123">
        <f>31.07292</f>
        <v>31.07292</v>
      </c>
      <c r="G86" s="123">
        <f>8320.98839</f>
        <v>8320.9883900000004</v>
      </c>
      <c r="H86" s="123">
        <f t="shared" si="9"/>
        <v>328.01160999999956</v>
      </c>
      <c r="I86" s="123">
        <f>9812.82322</f>
        <v>9812.8232200000002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41.1033</f>
        <v>41.103299999999997</v>
      </c>
      <c r="G87" s="123">
        <f>7951.41876</f>
        <v>7951.4187599999996</v>
      </c>
      <c r="H87" s="123">
        <f t="shared" si="9"/>
        <v>-2174.4187599999996</v>
      </c>
      <c r="I87" s="123">
        <f>6834.85345</f>
        <v>6834.8534499999996</v>
      </c>
      <c r="J87" s="267"/>
    </row>
    <row r="88" spans="1:10" ht="14.1" customHeight="1" x14ac:dyDescent="0.25">
      <c r="A88" s="192"/>
      <c r="B88" s="176"/>
      <c r="C88" s="54" t="s">
        <v>50</v>
      </c>
      <c r="D88" s="55">
        <v>7333</v>
      </c>
      <c r="E88" s="55">
        <v>8117</v>
      </c>
      <c r="F88" s="129">
        <f>0</f>
        <v>0</v>
      </c>
      <c r="G88" s="129">
        <f>4838.11411</f>
        <v>4838.1141100000004</v>
      </c>
      <c r="H88" s="129">
        <f t="shared" si="9"/>
        <v>3278.8858899999996</v>
      </c>
      <c r="I88" s="129">
        <f>5399.90297</f>
        <v>5399.9029700000001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83.40569</f>
        <v>83.405690000000007</v>
      </c>
      <c r="G89" s="72">
        <f>1809.84266</f>
        <v>1809.84266</v>
      </c>
      <c r="H89" s="72">
        <f t="shared" si="9"/>
        <v>1697.15734</v>
      </c>
      <c r="I89" s="72">
        <f>2356.00408</f>
        <v>2356.0040800000002</v>
      </c>
      <c r="J89" s="267"/>
    </row>
    <row r="90" spans="1:10" ht="15.75" customHeight="1" x14ac:dyDescent="0.25">
      <c r="A90" s="1"/>
      <c r="B90" s="51"/>
      <c r="C90" s="70" t="s">
        <v>33</v>
      </c>
      <c r="D90" s="86">
        <v>319</v>
      </c>
      <c r="E90" s="86">
        <v>319</v>
      </c>
      <c r="F90" s="95">
        <f>0</f>
        <v>0</v>
      </c>
      <c r="G90" s="95">
        <f>37.10349</f>
        <v>37.103490000000001</v>
      </c>
      <c r="H90" s="95">
        <f t="shared" si="9"/>
        <v>281.89650999999998</v>
      </c>
      <c r="I90" s="95">
        <f>36.11544</f>
        <v>36.11544</v>
      </c>
      <c r="J90" s="267"/>
    </row>
    <row r="91" spans="1:10" ht="18" customHeight="1" x14ac:dyDescent="0.25">
      <c r="A91" s="1"/>
      <c r="B91" s="277"/>
      <c r="C91" s="70" t="s">
        <v>51</v>
      </c>
      <c r="D91" s="140">
        <v>300</v>
      </c>
      <c r="E91" s="140">
        <v>300</v>
      </c>
      <c r="F91" s="136">
        <f>0.02826</f>
        <v>2.826E-2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37</v>
      </c>
      <c r="D92" s="140">
        <v>50</v>
      </c>
      <c r="E92" s="140">
        <v>50</v>
      </c>
      <c r="F92" s="95">
        <f>0.13652</f>
        <v>0.13652</v>
      </c>
      <c r="G92" s="95">
        <f>12.84538</f>
        <v>12.84538</v>
      </c>
      <c r="H92" s="136">
        <f>E92-G92</f>
        <v>37.154620000000001</v>
      </c>
      <c r="I92" s="95">
        <f>38.69719</f>
        <v>38.697189999999999</v>
      </c>
      <c r="J92" s="267"/>
    </row>
    <row r="93" spans="1:10" ht="18" customHeight="1" x14ac:dyDescent="0.2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12.88736</f>
        <v>12.887359999999999</v>
      </c>
      <c r="H93" s="136">
        <f t="shared" ref="H93" si="10">E93-G93</f>
        <v>-12.887359999999999</v>
      </c>
      <c r="I93" s="136">
        <f>16.09444</f>
        <v>16.094439999999999</v>
      </c>
      <c r="J93" s="267"/>
    </row>
    <row r="94" spans="1:10" ht="16.5" customHeight="1" x14ac:dyDescent="0.2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354.13807000000003</v>
      </c>
      <c r="G94" s="73">
        <f t="shared" si="12"/>
        <v>55371.211900000009</v>
      </c>
      <c r="H94" s="73">
        <f t="shared" si="12"/>
        <v>15567.7881</v>
      </c>
      <c r="I94" s="73">
        <f t="shared" si="12"/>
        <v>64066.075629999992</v>
      </c>
      <c r="J94" s="267"/>
    </row>
    <row r="95" spans="1:10" ht="13.5" customHeight="1" x14ac:dyDescent="0.2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154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2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00000000000001" customHeight="1" x14ac:dyDescent="0.2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" customHeight="1" x14ac:dyDescent="0.2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40.729500000000002</v>
      </c>
      <c r="G115" s="10">
        <f t="shared" si="13"/>
        <v>42584.482480000006</v>
      </c>
      <c r="H115" s="10">
        <f t="shared" si="13"/>
        <v>28430.517520000001</v>
      </c>
      <c r="I115" s="10">
        <f t="shared" si="13"/>
        <v>49134.371279999999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40.7295</f>
        <v>40.729500000000002</v>
      </c>
      <c r="G116" s="22">
        <f>38353.51614</f>
        <v>38353.51614</v>
      </c>
      <c r="H116" s="22">
        <f>E116-G116</f>
        <v>18096.48386</v>
      </c>
      <c r="I116" s="22">
        <f>43465.02114</f>
        <v>43465.021139999997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4165.60874</f>
        <v>4165.6087399999997</v>
      </c>
      <c r="H117" s="22">
        <f>E117-G117</f>
        <v>9899.3912600000003</v>
      </c>
      <c r="I117" s="22">
        <f>5603.62299</f>
        <v>5603.6229899999998</v>
      </c>
      <c r="J117" s="267"/>
    </row>
    <row r="118" spans="1:10" ht="13.5" customHeight="1" x14ac:dyDescent="0.2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65.72715</f>
        <v>65.727149999999995</v>
      </c>
      <c r="J118" s="267"/>
    </row>
    <row r="119" spans="1:10" ht="14.25" customHeight="1" x14ac:dyDescent="0.25">
      <c r="A119" s="65"/>
      <c r="B119" s="75"/>
      <c r="C119" s="85" t="s">
        <v>61</v>
      </c>
      <c r="D119" s="87">
        <v>43775</v>
      </c>
      <c r="E119" s="87">
        <v>51430</v>
      </c>
      <c r="F119" s="92">
        <f>85.7916</f>
        <v>85.791600000000003</v>
      </c>
      <c r="G119" s="92">
        <f>29937.3967+3004.55</f>
        <v>32941.9467</v>
      </c>
      <c r="H119" s="92">
        <f>E119-G119</f>
        <v>18488.0533</v>
      </c>
      <c r="I119" s="92">
        <f>16000.9988</f>
        <v>16000.998799999999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705.96096999999997</v>
      </c>
      <c r="G120" s="91">
        <f t="shared" ref="G120" si="14">G121+G126+G129</f>
        <v>43507.785980000001</v>
      </c>
      <c r="H120" s="91">
        <f>H121+H126+H129</f>
        <v>31537.214020000003</v>
      </c>
      <c r="I120" s="91">
        <f>I121+I126+I129</f>
        <v>63627.22114999999</v>
      </c>
      <c r="J120" s="117"/>
    </row>
    <row r="121" spans="1:10" ht="14.1" customHeight="1" x14ac:dyDescent="0.2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536.05035999999996</v>
      </c>
      <c r="G121" s="121">
        <f>G122+G123+G125+G124</f>
        <v>32094.683130000001</v>
      </c>
      <c r="H121" s="121">
        <f>H122+H123+H124+H125</f>
        <v>24264.316870000002</v>
      </c>
      <c r="I121" s="121">
        <f>I122+I123+I124+I125</f>
        <v>48922.517319999992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130.72593</f>
        <v>130.72593000000001</v>
      </c>
      <c r="G122" s="123">
        <f>7847.0561</f>
        <v>7847.0560999999998</v>
      </c>
      <c r="H122" s="123">
        <f>E122-G122</f>
        <v>8168.9439000000002</v>
      </c>
      <c r="I122" s="123">
        <f>9744.73923</f>
        <v>9744.7392299999992</v>
      </c>
      <c r="J122" s="125"/>
    </row>
    <row r="123" spans="1:10" ht="14.1" customHeight="1" x14ac:dyDescent="0.25">
      <c r="A123" s="192"/>
      <c r="B123" s="176"/>
      <c r="C123" s="60" t="s">
        <v>48</v>
      </c>
      <c r="D123" s="61">
        <v>14094</v>
      </c>
      <c r="E123" s="61">
        <v>14854</v>
      </c>
      <c r="F123" s="123">
        <f>51.28313</f>
        <v>51.28313</v>
      </c>
      <c r="G123" s="123">
        <f>9004.7205-90.7467</f>
        <v>8913.9737999999998</v>
      </c>
      <c r="H123" s="123">
        <f>E123-G123</f>
        <v>5940.0262000000002</v>
      </c>
      <c r="I123" s="123">
        <f>12715.39494</f>
        <v>12715.39494</v>
      </c>
      <c r="J123" s="126"/>
    </row>
    <row r="124" spans="1:10" ht="14.1" customHeight="1" x14ac:dyDescent="0.25">
      <c r="A124" s="192"/>
      <c r="B124" s="176"/>
      <c r="C124" s="60" t="s">
        <v>49</v>
      </c>
      <c r="D124" s="61">
        <v>12169</v>
      </c>
      <c r="E124" s="61">
        <v>12872</v>
      </c>
      <c r="F124" s="123">
        <f>93.9917</f>
        <v>93.991699999999994</v>
      </c>
      <c r="G124" s="123">
        <f>8483.58021-582.5897</f>
        <v>7900.9905099999996</v>
      </c>
      <c r="H124" s="123">
        <f>E124-G124</f>
        <v>4971.0094900000004</v>
      </c>
      <c r="I124" s="123">
        <f>12942.2761</f>
        <v>12942.276099999999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260.0496</f>
        <v>260.0496</v>
      </c>
      <c r="G125" s="123">
        <f>9763.87632-2331.2136</f>
        <v>7432.6627199999994</v>
      </c>
      <c r="H125" s="123">
        <f>E125-G125</f>
        <v>5184.3372800000006</v>
      </c>
      <c r="I125" s="123">
        <f>13520.10705</f>
        <v>13520.107050000001</v>
      </c>
      <c r="J125" s="126"/>
    </row>
    <row r="126" spans="1:10" ht="14.1" customHeight="1" x14ac:dyDescent="0.2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36.081449999999997</v>
      </c>
      <c r="G126" s="129">
        <f>SUM(G127:G128)</f>
        <v>6276.5690199999999</v>
      </c>
      <c r="H126" s="129">
        <f>H127+H128</f>
        <v>1465.4309799999996</v>
      </c>
      <c r="I126" s="129">
        <f>SUM(I127:I128)</f>
        <v>8915.6385100000007</v>
      </c>
      <c r="J126" s="130"/>
    </row>
    <row r="127" spans="1:10" ht="14.1" customHeight="1" x14ac:dyDescent="0.25">
      <c r="A127" s="1"/>
      <c r="B127" s="277"/>
      <c r="C127" s="60" t="s">
        <v>63</v>
      </c>
      <c r="D127" s="61">
        <v>6819</v>
      </c>
      <c r="E127" s="61">
        <v>7242</v>
      </c>
      <c r="F127" s="123">
        <f>36.08145</f>
        <v>36.081449999999997</v>
      </c>
      <c r="G127" s="123">
        <f>6093.39083</f>
        <v>6093.3908300000003</v>
      </c>
      <c r="H127" s="123">
        <f t="shared" ref="H127:H135" si="15">E127-G127</f>
        <v>1148.6091699999997</v>
      </c>
      <c r="I127" s="123">
        <f>8475.63584</f>
        <v>8475.6358400000008</v>
      </c>
      <c r="J127" s="117"/>
    </row>
    <row r="128" spans="1:10" ht="15" customHeight="1" x14ac:dyDescent="0.25">
      <c r="A128" s="1"/>
      <c r="B128" s="51"/>
      <c r="C128" s="60" t="s">
        <v>64</v>
      </c>
      <c r="D128" s="61">
        <v>500</v>
      </c>
      <c r="E128" s="61">
        <v>500</v>
      </c>
      <c r="F128" s="123">
        <f>0</f>
        <v>0</v>
      </c>
      <c r="G128" s="123">
        <f>183.17819</f>
        <v>183.17819</v>
      </c>
      <c r="H128" s="123">
        <f t="shared" si="15"/>
        <v>316.82181000000003</v>
      </c>
      <c r="I128" s="123">
        <f>440.00267</f>
        <v>440.00267000000002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133.82916</f>
        <v>133.82916</v>
      </c>
      <c r="G129" s="72">
        <f>5136.53383</f>
        <v>5136.5338300000003</v>
      </c>
      <c r="H129" s="72">
        <f t="shared" si="15"/>
        <v>5807.4661699999997</v>
      </c>
      <c r="I129" s="72">
        <f>5789.06532</f>
        <v>5789.0653199999997</v>
      </c>
      <c r="J129" s="117"/>
    </row>
    <row r="130" spans="1:10" ht="15.75" customHeight="1" x14ac:dyDescent="0.2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17.80118</f>
        <v>17.801179999999999</v>
      </c>
      <c r="H130" s="136">
        <f t="shared" si="15"/>
        <v>128.19882000000001</v>
      </c>
      <c r="I130" s="136">
        <f>15.8921</f>
        <v>15.892099999999999</v>
      </c>
      <c r="J130" s="117"/>
    </row>
    <row r="131" spans="1:10" ht="15.75" customHeight="1" x14ac:dyDescent="0.2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25">
      <c r="A132" s="1"/>
      <c r="B132" s="277"/>
      <c r="C132" s="137" t="s">
        <v>66</v>
      </c>
      <c r="D132" s="140">
        <v>2000</v>
      </c>
      <c r="E132" s="140">
        <v>2000</v>
      </c>
      <c r="F132" s="136">
        <f>4.00511</f>
        <v>4.0051100000000002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67</v>
      </c>
      <c r="D134" s="140">
        <v>313</v>
      </c>
      <c r="E134" s="140">
        <v>313</v>
      </c>
      <c r="F134" s="95">
        <f>0.15</f>
        <v>0.15</v>
      </c>
      <c r="G134" s="95">
        <f>88.3871</f>
        <v>88.387100000000004</v>
      </c>
      <c r="H134" s="136">
        <f t="shared" si="15"/>
        <v>224.6129</v>
      </c>
      <c r="I134" s="95">
        <f>52.77681</f>
        <v>52.776809999999998</v>
      </c>
      <c r="J134" s="117"/>
    </row>
    <row r="135" spans="1:10" ht="15" customHeight="1" x14ac:dyDescent="0.25">
      <c r="A135" s="1"/>
      <c r="B135" s="277"/>
      <c r="C135" s="139" t="s">
        <v>38</v>
      </c>
      <c r="D135" s="142"/>
      <c r="E135" s="140"/>
      <c r="F135" s="136">
        <f>0</f>
        <v>0</v>
      </c>
      <c r="G135" s="136">
        <f>91.98029</f>
        <v>91.980289999999997</v>
      </c>
      <c r="H135" s="136">
        <f t="shared" si="15"/>
        <v>-91.980289999999997</v>
      </c>
      <c r="I135" s="136">
        <f>119.86724</f>
        <v>119.86724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836.63717999999994</v>
      </c>
      <c r="G137" s="73">
        <f>G115+G119+G120+G130+G131+G132+G133+G134+G135</f>
        <v>121233.38473000002</v>
      </c>
      <c r="H137" s="73">
        <f>H115+H119+H120+H130+H131+H132+H133+H134+H135</f>
        <v>79065.615269999995</v>
      </c>
      <c r="I137" s="73">
        <f>I115+I119+I120+I130+I131+I132+I133+I134+I135</f>
        <v>131207.16337999998</v>
      </c>
      <c r="J137" s="155"/>
    </row>
    <row r="138" spans="1:10" ht="14.25" customHeight="1" x14ac:dyDescent="0.2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165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" customHeight="1" x14ac:dyDescent="0.25">
      <c r="A160" s="1"/>
      <c r="B160" s="277"/>
      <c r="C160" s="138" t="s">
        <v>71</v>
      </c>
      <c r="D160" s="91">
        <v>3762</v>
      </c>
      <c r="E160" s="297">
        <f>0.63731</f>
        <v>0.63731000000000004</v>
      </c>
      <c r="F160" s="297">
        <f>1016.96432</f>
        <v>1016.96432</v>
      </c>
      <c r="G160" s="42">
        <f>D160-F160-F161</f>
        <v>1534.1768</v>
      </c>
      <c r="H160" s="297">
        <f>1069.23616</f>
        <v>1069.2361599999999</v>
      </c>
      <c r="I160" s="1"/>
      <c r="J160" s="117"/>
    </row>
    <row r="161" spans="1:10" ht="14.1" customHeight="1" x14ac:dyDescent="0.25">
      <c r="A161" s="1"/>
      <c r="B161" s="277"/>
      <c r="C161" s="133" t="s">
        <v>50</v>
      </c>
      <c r="D161" s="175"/>
      <c r="E161" s="148">
        <f>0</f>
        <v>0</v>
      </c>
      <c r="F161" s="148">
        <f>1210.85888</f>
        <v>1210.85888</v>
      </c>
      <c r="G161" s="219"/>
      <c r="H161" s="148">
        <f>1502.07774</f>
        <v>1502.0777399999999</v>
      </c>
      <c r="I161" s="1"/>
      <c r="J161" s="117"/>
    </row>
    <row r="162" spans="1:10" ht="15.6" customHeight="1" x14ac:dyDescent="0.25">
      <c r="A162" s="1"/>
      <c r="B162" s="277"/>
      <c r="C162" s="163" t="s">
        <v>72</v>
      </c>
      <c r="D162" s="95">
        <v>200</v>
      </c>
      <c r="E162" s="166">
        <f>0</f>
        <v>0</v>
      </c>
      <c r="F162" s="166">
        <f>87.07938</f>
        <v>87.07938</v>
      </c>
      <c r="G162" s="166">
        <f>D162-F162</f>
        <v>112.92062</v>
      </c>
      <c r="H162" s="166">
        <f>104.73857</f>
        <v>104.73857</v>
      </c>
      <c r="I162" s="1"/>
      <c r="J162" s="117"/>
    </row>
    <row r="163" spans="1:10" ht="14.1" customHeight="1" x14ac:dyDescent="0.25">
      <c r="A163" s="65"/>
      <c r="B163" s="75"/>
      <c r="C163" s="174" t="s">
        <v>73</v>
      </c>
      <c r="D163" s="175">
        <v>5642</v>
      </c>
      <c r="E163" s="175">
        <f>E164+E165+E166</f>
        <v>11.87932</v>
      </c>
      <c r="F163" s="175">
        <f>F164+F165+F166</f>
        <v>5421.7242799999995</v>
      </c>
      <c r="G163" s="175">
        <f>D163-F163</f>
        <v>220.27572000000055</v>
      </c>
      <c r="H163" s="175">
        <f>H164+H165+H166</f>
        <v>5958.6305000000002</v>
      </c>
      <c r="I163" s="65"/>
      <c r="J163" s="111"/>
    </row>
    <row r="164" spans="1:10" ht="14.1" customHeight="1" x14ac:dyDescent="0.25">
      <c r="A164" s="192"/>
      <c r="B164" s="176"/>
      <c r="C164" s="177" t="s">
        <v>74</v>
      </c>
      <c r="D164" s="123"/>
      <c r="E164" s="123">
        <f>3.13192</f>
        <v>3.13192</v>
      </c>
      <c r="F164" s="123">
        <f>3067.1783</f>
        <v>3067.1783</v>
      </c>
      <c r="G164" s="123"/>
      <c r="H164" s="123">
        <f>3088.15446</f>
        <v>3088.1544600000002</v>
      </c>
      <c r="I164" s="181"/>
      <c r="J164" s="126"/>
    </row>
    <row r="165" spans="1:10" ht="14.1" customHeight="1" x14ac:dyDescent="0.25">
      <c r="A165" s="192"/>
      <c r="B165" s="176"/>
      <c r="C165" s="177" t="s">
        <v>75</v>
      </c>
      <c r="D165" s="123"/>
      <c r="E165" s="123">
        <f>8.7474</f>
        <v>8.7474000000000007</v>
      </c>
      <c r="F165" s="123">
        <f>1574.2104</f>
        <v>1574.2103999999999</v>
      </c>
      <c r="G165" s="123"/>
      <c r="H165" s="123">
        <f>1811.71409</f>
        <v>1811.7140899999999</v>
      </c>
      <c r="I165" s="181"/>
      <c r="J165" s="182"/>
    </row>
    <row r="166" spans="1:10" ht="14.1" customHeight="1" x14ac:dyDescent="0.25">
      <c r="A166" s="192"/>
      <c r="B166" s="176"/>
      <c r="C166" s="183" t="s">
        <v>76</v>
      </c>
      <c r="D166" s="186"/>
      <c r="E166" s="186">
        <f>0</f>
        <v>0</v>
      </c>
      <c r="F166" s="186">
        <f>780.33558</f>
        <v>780.33558000000005</v>
      </c>
      <c r="G166" s="186"/>
      <c r="H166" s="186">
        <f>1058.76195</f>
        <v>1058.7619500000001</v>
      </c>
      <c r="I166" s="181"/>
      <c r="J166" s="182"/>
    </row>
    <row r="167" spans="1:10" ht="14.1" customHeight="1" x14ac:dyDescent="0.2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12.516629999999999</v>
      </c>
      <c r="F169" s="188">
        <f>F160+F161+F162+F163+F167+F168</f>
        <v>7741.9799599999997</v>
      </c>
      <c r="G169" s="188">
        <f>D169-F169</f>
        <v>1933.0200400000003</v>
      </c>
      <c r="H169" s="188">
        <f>H160+H161+H162+H163+H167+H168</f>
        <v>8634.6829699999998</v>
      </c>
      <c r="I169" s="159"/>
      <c r="J169" s="155"/>
    </row>
    <row r="170" spans="1:10" ht="42" customHeight="1" x14ac:dyDescent="0.2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7.20494</f>
        <v>7.2049399999999997</v>
      </c>
      <c r="G189" s="124">
        <f>44723.36586</f>
        <v>44723.365859999998</v>
      </c>
      <c r="H189" s="124">
        <f>E189-G189</f>
        <v>-1388.3658599999981</v>
      </c>
      <c r="I189" s="124">
        <f>40845.19954</f>
        <v>40845.199540000001</v>
      </c>
      <c r="J189" s="117"/>
    </row>
    <row r="190" spans="1:10" ht="15" customHeight="1" x14ac:dyDescent="0.25">
      <c r="A190" s="1"/>
      <c r="B190" s="277"/>
      <c r="C190" s="90" t="s">
        <v>64</v>
      </c>
      <c r="D190" s="124">
        <v>100</v>
      </c>
      <c r="E190" s="124">
        <v>100</v>
      </c>
      <c r="F190" s="124">
        <f>0.5992</f>
        <v>0.59919999999999995</v>
      </c>
      <c r="G190" s="124">
        <f>37.20154</f>
        <v>37.201540000000001</v>
      </c>
      <c r="H190" s="124">
        <f>E190-G190</f>
        <v>62.798459999999999</v>
      </c>
      <c r="I190" s="124">
        <f>39.76632</f>
        <v>39.76632</v>
      </c>
      <c r="J190" s="117"/>
    </row>
    <row r="191" spans="1:10" ht="15.75" customHeight="1" x14ac:dyDescent="0.2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E191-G191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7.8041399999999994</v>
      </c>
      <c r="G192" s="190">
        <f>SUM(G189:G191)</f>
        <v>44760.5674</v>
      </c>
      <c r="H192" s="190">
        <f>E192-G192</f>
        <v>-1289.5673999999999</v>
      </c>
      <c r="I192" s="190">
        <f>SUM(I189:I191)</f>
        <v>40884.965860000004</v>
      </c>
      <c r="J192" s="117"/>
    </row>
    <row r="193" spans="1:10" ht="12" customHeight="1" x14ac:dyDescent="0.2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25">
      <c r="A202" s="1"/>
      <c r="B202" s="277"/>
      <c r="C202" s="90" t="s">
        <v>113</v>
      </c>
      <c r="D202" s="124">
        <v>3987</v>
      </c>
      <c r="E202" s="72">
        <f>E203+E204</f>
        <v>19.109560000000002</v>
      </c>
      <c r="F202" s="72">
        <f>F203+F204</f>
        <v>3792.7936</v>
      </c>
      <c r="G202" s="72">
        <f>D202-F202</f>
        <v>194.20640000000003</v>
      </c>
      <c r="H202" s="72">
        <f>H203+H204</f>
        <v>4199.5358000000006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13.9314</f>
        <v>13.9314</v>
      </c>
      <c r="F203" s="72">
        <f>3098.3466</f>
        <v>3098.3465999999999</v>
      </c>
      <c r="G203" s="72"/>
      <c r="H203" s="72">
        <f>3634.03351</f>
        <v>3634.0335100000002</v>
      </c>
      <c r="I203" s="271"/>
      <c r="J203" s="117"/>
    </row>
    <row r="204" spans="1:10" ht="15" customHeight="1" x14ac:dyDescent="0.25">
      <c r="A204" s="1"/>
      <c r="B204" s="277"/>
      <c r="C204" s="172" t="s">
        <v>64</v>
      </c>
      <c r="D204" s="124"/>
      <c r="E204" s="124">
        <f>5.17816</f>
        <v>5.1781600000000001</v>
      </c>
      <c r="F204" s="124">
        <f>694.447</f>
        <v>694.447</v>
      </c>
      <c r="G204" s="168"/>
      <c r="H204" s="124">
        <f>565.50229</f>
        <v>565.50229000000002</v>
      </c>
      <c r="I204" s="271"/>
      <c r="J204" s="117"/>
    </row>
    <row r="205" spans="1:10" ht="15" customHeight="1" x14ac:dyDescent="0.25">
      <c r="A205" s="1"/>
      <c r="B205" s="277"/>
      <c r="C205" s="90" t="s">
        <v>114</v>
      </c>
      <c r="D205" s="124">
        <v>4613</v>
      </c>
      <c r="E205" s="72">
        <f>34.56576</f>
        <v>34.565759999999997</v>
      </c>
      <c r="F205" s="72">
        <f>4551.72491</f>
        <v>4551.7249099999999</v>
      </c>
      <c r="G205" s="72">
        <f>D205-F205</f>
        <v>61.275090000000091</v>
      </c>
      <c r="H205" s="72">
        <f>5256.48999</f>
        <v>5256.48999</v>
      </c>
      <c r="I205" s="271"/>
      <c r="J205" s="117"/>
    </row>
    <row r="206" spans="1:10" ht="16.5" customHeight="1" x14ac:dyDescent="0.25">
      <c r="A206" s="1"/>
      <c r="B206" s="277"/>
      <c r="C206" s="179" t="s">
        <v>83</v>
      </c>
      <c r="D206" s="190">
        <f>D205+D202</f>
        <v>8600</v>
      </c>
      <c r="E206" s="190">
        <f>SUM(E202,E205)</f>
        <v>53.675319999999999</v>
      </c>
      <c r="F206" s="190">
        <f>SUM(F202,F205)</f>
        <v>8344.5185099999999</v>
      </c>
      <c r="G206" s="190">
        <f>D206-F206</f>
        <v>255.48149000000012</v>
      </c>
      <c r="H206" s="190">
        <f>SUM(H202,H205)</f>
        <v>9456.0257899999997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25">
      <c r="A215" s="1"/>
      <c r="B215" s="277"/>
      <c r="C215" s="90" t="s">
        <v>113</v>
      </c>
      <c r="D215" s="124">
        <v>5090</v>
      </c>
      <c r="E215" s="72">
        <f>E216+E217</f>
        <v>4.7808999999999999</v>
      </c>
      <c r="F215" s="72">
        <f>F216+F217</f>
        <v>5257.6022400000002</v>
      </c>
      <c r="G215" s="72">
        <f>D215-F215</f>
        <v>-167.60224000000017</v>
      </c>
      <c r="H215" s="72">
        <f>H216+H217</f>
        <v>5297.7867299999998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2.2176</f>
        <v>2.2176</v>
      </c>
      <c r="F216" s="72">
        <f>4897.34233</f>
        <v>4897.3423300000004</v>
      </c>
      <c r="G216" s="72"/>
      <c r="H216" s="72">
        <f>4829.74321</f>
        <v>4829.7432099999996</v>
      </c>
      <c r="I216" s="271"/>
      <c r="J216" s="117"/>
    </row>
    <row r="217" spans="1:10" ht="15" customHeight="1" x14ac:dyDescent="0.25">
      <c r="A217" s="1"/>
      <c r="B217" s="277"/>
      <c r="C217" s="172" t="s">
        <v>64</v>
      </c>
      <c r="D217" s="124"/>
      <c r="E217" s="124">
        <f>2.5633</f>
        <v>2.5632999999999999</v>
      </c>
      <c r="F217" s="124">
        <f>360.25991</f>
        <v>360.25990999999999</v>
      </c>
      <c r="G217" s="168"/>
      <c r="H217" s="124">
        <f>468.04352</f>
        <v>468.04352</v>
      </c>
      <c r="I217" s="271"/>
      <c r="J217" s="117"/>
    </row>
    <row r="218" spans="1:10" ht="15" customHeight="1" x14ac:dyDescent="0.25">
      <c r="A218" s="1"/>
      <c r="B218" s="277"/>
      <c r="C218" s="90" t="s">
        <v>114</v>
      </c>
      <c r="D218" s="124">
        <v>2981</v>
      </c>
      <c r="E218" s="72">
        <f>68.45768</f>
        <v>68.457679999999996</v>
      </c>
      <c r="F218" s="72">
        <f>2270.05857</f>
        <v>2270.0585700000001</v>
      </c>
      <c r="G218" s="72">
        <f>D218-F218</f>
        <v>710.94142999999985</v>
      </c>
      <c r="H218" s="72">
        <f>2635.45471</f>
        <v>2635.45471</v>
      </c>
      <c r="I218" s="271"/>
      <c r="J218" s="117"/>
    </row>
    <row r="219" spans="1:10" ht="16.5" customHeight="1" x14ac:dyDescent="0.25">
      <c r="A219" s="1"/>
      <c r="B219" s="277"/>
      <c r="C219" s="179" t="s">
        <v>83</v>
      </c>
      <c r="D219" s="190">
        <f>D218+D215</f>
        <v>8071</v>
      </c>
      <c r="E219" s="190">
        <f>SUM(E215,E218)</f>
        <v>73.238579999999999</v>
      </c>
      <c r="F219" s="190">
        <f>SUM(F215,F218)</f>
        <v>7527.6608100000003</v>
      </c>
      <c r="G219" s="190">
        <f>D219-F219</f>
        <v>543.33918999999969</v>
      </c>
      <c r="H219" s="190">
        <f>SUM(H215,H218)</f>
        <v>7933.2414399999998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9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" customHeight="1" x14ac:dyDescent="0.25">
      <c r="A237" s="65"/>
      <c r="B237" s="75"/>
      <c r="C237" s="90" t="s">
        <v>89</v>
      </c>
      <c r="D237" s="124">
        <v>800</v>
      </c>
      <c r="E237" s="124">
        <f>11.27036</f>
        <v>11.27036</v>
      </c>
      <c r="F237" s="124">
        <f>517.53538</f>
        <v>517.53538000000003</v>
      </c>
      <c r="G237" s="124">
        <f>D237-F237</f>
        <v>282.46461999999997</v>
      </c>
      <c r="H237" s="124">
        <f>586.81665</f>
        <v>586.81664999999998</v>
      </c>
      <c r="I237" s="65"/>
      <c r="J237" s="267"/>
    </row>
    <row r="238" spans="1:10" ht="14.1" customHeight="1" x14ac:dyDescent="0.25">
      <c r="A238" s="1"/>
      <c r="B238" s="277"/>
      <c r="C238" s="90" t="s">
        <v>90</v>
      </c>
      <c r="D238" s="269">
        <v>2193</v>
      </c>
      <c r="E238" s="124">
        <f>35.73392</f>
        <v>35.733919999999998</v>
      </c>
      <c r="F238" s="124">
        <f>1211.37912</f>
        <v>1211.3791200000001</v>
      </c>
      <c r="G238" s="124">
        <f>D238-F238</f>
        <v>981.62087999999994</v>
      </c>
      <c r="H238" s="124">
        <f>2190.45221</f>
        <v>2190.4522099999999</v>
      </c>
      <c r="I238" s="173"/>
      <c r="J238" s="111"/>
    </row>
    <row r="239" spans="1:10" ht="16.5" customHeight="1" x14ac:dyDescent="0.25">
      <c r="A239" s="65"/>
      <c r="B239" s="75"/>
      <c r="C239" s="146" t="s">
        <v>77</v>
      </c>
      <c r="D239" s="269">
        <v>10</v>
      </c>
      <c r="E239" s="168">
        <f>0</f>
        <v>0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91</v>
      </c>
      <c r="D240" s="245"/>
      <c r="E240" s="168">
        <f>0.107</f>
        <v>0.107</v>
      </c>
      <c r="F240" s="168">
        <f>3.25653</f>
        <v>3.2565300000000001</v>
      </c>
      <c r="G240" s="124">
        <f>D240-F240</f>
        <v>-3.2565300000000001</v>
      </c>
      <c r="H240" s="168">
        <f>0.248</f>
        <v>0.248</v>
      </c>
      <c r="I240" s="305"/>
      <c r="J240" s="117"/>
    </row>
    <row r="241" spans="1:10" ht="14.1" customHeight="1" x14ac:dyDescent="0.25">
      <c r="A241" s="1"/>
      <c r="B241" s="277"/>
      <c r="C241" s="179" t="s">
        <v>83</v>
      </c>
      <c r="D241" s="5">
        <f>D226</f>
        <v>3003</v>
      </c>
      <c r="E241" s="190">
        <f>SUM(E237:E240)</f>
        <v>47.111279999999994</v>
      </c>
      <c r="F241" s="190">
        <f>SUM(F237:F240)</f>
        <v>1735.2247300000001</v>
      </c>
      <c r="G241" s="190">
        <f>D241-F241</f>
        <v>1267.7752699999999</v>
      </c>
      <c r="H241" s="190">
        <f>H237+H238+H239+H240</f>
        <v>2781.1264800000004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109</v>
      </c>
    </row>
    <row r="245" spans="1:10" ht="14.1" customHeight="1" x14ac:dyDescent="0.25">
      <c r="A245" s="1" t="s">
        <v>109</v>
      </c>
    </row>
    <row r="246" spans="1:10" ht="30" customHeight="1" x14ac:dyDescent="0.3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2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133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462.59505000000001</v>
      </c>
      <c r="G262" s="276">
        <f t="shared" si="17"/>
        <v>21946.76238</v>
      </c>
      <c r="H262" s="276">
        <f>H266+H265+H264+H263</f>
        <v>5789.2376199999999</v>
      </c>
      <c r="I262" s="276">
        <f t="shared" si="17"/>
        <v>18791.919430000002</v>
      </c>
      <c r="J262" s="127"/>
    </row>
    <row r="263" spans="1:10" ht="14.1" customHeight="1" x14ac:dyDescent="0.25">
      <c r="A263" s="223"/>
      <c r="B263" s="69"/>
      <c r="C263" s="278" t="s">
        <v>99</v>
      </c>
      <c r="D263" s="279">
        <v>14132</v>
      </c>
      <c r="E263" s="279">
        <v>16670</v>
      </c>
      <c r="F263" s="280">
        <f>419.07105</f>
        <v>419.07105000000001</v>
      </c>
      <c r="G263" s="280">
        <f>15278.83403</f>
        <v>15278.83403</v>
      </c>
      <c r="H263" s="280">
        <f t="shared" ref="H263:H267" si="18">E263-G263</f>
        <v>1391.16597</v>
      </c>
      <c r="I263" s="280">
        <f>12572.90158</f>
        <v>12572.90158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2125.20727</f>
        <v>2125.2072699999999</v>
      </c>
      <c r="H264" s="280">
        <f>E264-G264</f>
        <v>2213.7927300000001</v>
      </c>
      <c r="I264" s="280">
        <f>1969.57002</f>
        <v>1969.5700200000001</v>
      </c>
      <c r="J264" s="127"/>
    </row>
    <row r="265" spans="1:10" ht="14.1" customHeight="1" x14ac:dyDescent="0.25">
      <c r="A265" s="223"/>
      <c r="B265" s="69"/>
      <c r="C265" s="282" t="s">
        <v>96</v>
      </c>
      <c r="D265" s="279">
        <v>1506</v>
      </c>
      <c r="E265" s="279">
        <v>1571</v>
      </c>
      <c r="F265" s="280">
        <f>18.156</f>
        <v>18.155999999999999</v>
      </c>
      <c r="G265" s="280">
        <f>1498.89649</f>
        <v>1498.8964900000001</v>
      </c>
      <c r="H265" s="280">
        <f t="shared" si="18"/>
        <v>72.103509999999915</v>
      </c>
      <c r="I265" s="280">
        <f>1816.29777</f>
        <v>1816.2977699999999</v>
      </c>
      <c r="J265" s="127"/>
    </row>
    <row r="266" spans="1:10" ht="14.1" customHeight="1" x14ac:dyDescent="0.25">
      <c r="A266" s="223"/>
      <c r="B266" s="69"/>
      <c r="C266" s="284" t="s">
        <v>119</v>
      </c>
      <c r="D266" s="285">
        <v>5043</v>
      </c>
      <c r="E266" s="285">
        <v>5156</v>
      </c>
      <c r="F266" s="280">
        <f>25.368</f>
        <v>25.367999999999999</v>
      </c>
      <c r="G266" s="280">
        <f>3043.82459</f>
        <v>3043.8245900000002</v>
      </c>
      <c r="H266" s="280">
        <f t="shared" si="18"/>
        <v>2112.1754099999998</v>
      </c>
      <c r="I266" s="280">
        <f>2433.15006</f>
        <v>2433.1500599999999</v>
      </c>
      <c r="J266" s="127"/>
    </row>
    <row r="267" spans="1:10" ht="14.1" customHeight="1" x14ac:dyDescent="0.25">
      <c r="A267" s="223"/>
      <c r="B267" s="69"/>
      <c r="C267" s="287" t="s">
        <v>56</v>
      </c>
      <c r="D267" s="288">
        <v>5500</v>
      </c>
      <c r="E267" s="288">
        <v>5500</v>
      </c>
      <c r="F267" s="290">
        <f>0.618</f>
        <v>0.61799999999999999</v>
      </c>
      <c r="G267" s="290">
        <f>4102.90324</f>
        <v>4102.9032399999996</v>
      </c>
      <c r="H267" s="290">
        <f t="shared" si="18"/>
        <v>1397.0967600000004</v>
      </c>
      <c r="I267" s="290">
        <f>2112.76078</f>
        <v>2112.7607800000001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103.43989999999999</v>
      </c>
      <c r="G268" s="291">
        <f>G270+G269</f>
        <v>2954.7957900000001</v>
      </c>
      <c r="H268" s="291">
        <f>E268-G268</f>
        <v>5045.2042099999999</v>
      </c>
      <c r="I268" s="291">
        <f>I270+I269</f>
        <v>3447.3708399999996</v>
      </c>
      <c r="J268" s="127"/>
    </row>
    <row r="269" spans="1:10" ht="14.1" customHeight="1" x14ac:dyDescent="0.25">
      <c r="A269" s="223"/>
      <c r="B269" s="69"/>
      <c r="C269" s="282" t="s">
        <v>50</v>
      </c>
      <c r="D269" s="293"/>
      <c r="E269" s="279"/>
      <c r="F269" s="280">
        <f>2.19117</f>
        <v>2.1911700000000001</v>
      </c>
      <c r="G269" s="280">
        <f>526.65151</f>
        <v>526.65151000000003</v>
      </c>
      <c r="H269" s="280"/>
      <c r="I269" s="280">
        <f>1037.37744</f>
        <v>1037.37744</v>
      </c>
      <c r="J269" s="127"/>
    </row>
    <row r="270" spans="1:10" ht="14.1" customHeight="1" x14ac:dyDescent="0.25">
      <c r="A270" s="223"/>
      <c r="B270" s="69"/>
      <c r="C270" s="295" t="s">
        <v>100</v>
      </c>
      <c r="D270" s="296"/>
      <c r="E270" s="298"/>
      <c r="F270" s="299">
        <f>101.24873</f>
        <v>101.24872999999999</v>
      </c>
      <c r="G270" s="299">
        <f>2428.14428</f>
        <v>2428.14428</v>
      </c>
      <c r="H270" s="299"/>
      <c r="I270" s="299">
        <f>2409.9934</f>
        <v>2409.9933999999998</v>
      </c>
      <c r="J270" s="127"/>
    </row>
    <row r="271" spans="1:10" ht="14.1" customHeight="1" x14ac:dyDescent="0.2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0.1484</f>
        <v>0.1484</v>
      </c>
      <c r="J271" s="127"/>
    </row>
    <row r="272" spans="1:10" ht="14.1" customHeight="1" x14ac:dyDescent="0.25">
      <c r="A272" s="223"/>
      <c r="B272" s="69"/>
      <c r="C272" s="300" t="s">
        <v>101</v>
      </c>
      <c r="D272" s="303"/>
      <c r="E272" s="304"/>
      <c r="F272" s="290">
        <f>0.1548</f>
        <v>0.15479999999999999</v>
      </c>
      <c r="G272" s="290">
        <f>166.37637</f>
        <v>166.37637000000001</v>
      </c>
      <c r="H272" s="290">
        <f>E272-G272</f>
        <v>-166.37637000000001</v>
      </c>
      <c r="I272" s="290">
        <f>105.14015</f>
        <v>105.14015000000001</v>
      </c>
      <c r="J272" s="127"/>
    </row>
    <row r="273" spans="1:10" ht="19.5" customHeight="1" x14ac:dyDescent="0.2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566.80775000000006</v>
      </c>
      <c r="G273" s="308">
        <f t="shared" si="19"/>
        <v>29171.406280000003</v>
      </c>
      <c r="H273" s="308">
        <f>H262+H267+H268+H271+H272</f>
        <v>12077.593720000001</v>
      </c>
      <c r="I273" s="308">
        <f t="shared" si="19"/>
        <v>24457.339599999999</v>
      </c>
      <c r="J273" s="127"/>
    </row>
    <row r="274" spans="1:10" ht="14.1" customHeight="1" x14ac:dyDescent="0.2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372" customHeight="1" x14ac:dyDescent="0.2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109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16" t="s">
        <v>117</v>
      </c>
      <c r="D288" s="316"/>
      <c r="E288" s="316"/>
      <c r="F288" s="316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x14ac:dyDescent="0.2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2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25">
      <c r="A293" s="223"/>
      <c r="B293" s="193"/>
      <c r="C293" s="19" t="s">
        <v>104</v>
      </c>
      <c r="D293" s="21" t="s">
        <v>105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" customHeight="1" x14ac:dyDescent="0.25">
      <c r="A294" s="223"/>
      <c r="B294" s="69"/>
      <c r="C294" s="287" t="s">
        <v>106</v>
      </c>
      <c r="D294" s="197">
        <v>779</v>
      </c>
      <c r="E294" s="25">
        <f>SUM(E295:E296)</f>
        <v>20.059000000000001</v>
      </c>
      <c r="F294" s="25">
        <f>SUM(F295:F296)</f>
        <v>755.39314999999999</v>
      </c>
      <c r="G294" s="82">
        <f>D294-F294</f>
        <v>23.606850000000009</v>
      </c>
      <c r="H294" s="25">
        <f>SUM(H295:H296)</f>
        <v>833.75638000000004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14.1445</f>
        <v>14.144500000000001</v>
      </c>
      <c r="F295" s="198">
        <f>559.56375</f>
        <v>559.56375000000003</v>
      </c>
      <c r="G295" s="199"/>
      <c r="H295" s="198">
        <f>631.48608</f>
        <v>631.48608000000002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5.9145</f>
        <v>5.9145000000000003</v>
      </c>
      <c r="F296" s="202">
        <f>195.8294</f>
        <v>195.82939999999999</v>
      </c>
      <c r="G296" s="203"/>
      <c r="H296" s="202">
        <f>202.2703</f>
        <v>202.27029999999999</v>
      </c>
      <c r="I296" s="145"/>
      <c r="J296" s="127"/>
    </row>
    <row r="297" spans="1:10" ht="14.1" customHeight="1" x14ac:dyDescent="0.2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" customHeight="1" x14ac:dyDescent="0.2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" customHeight="1" x14ac:dyDescent="0.2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20.059000000000001</v>
      </c>
      <c r="F304" s="39">
        <f>F294+F297+F300+F303</f>
        <v>755.39314999999999</v>
      </c>
      <c r="G304" s="40">
        <f>D304-F304</f>
        <v>1582.6068500000001</v>
      </c>
      <c r="H304" s="39">
        <f>H294+H297+H300+H303</f>
        <v>833.75638000000004</v>
      </c>
      <c r="I304" s="26"/>
      <c r="J304" s="127"/>
    </row>
    <row r="305" spans="1:10" ht="42" customHeight="1" x14ac:dyDescent="0.25">
      <c r="A305" s="223"/>
      <c r="B305" s="230"/>
      <c r="C305" s="318" t="s">
        <v>112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109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141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142</v>
      </c>
      <c r="E311" s="212" t="s">
        <v>143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144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16" t="s">
        <v>153</v>
      </c>
      <c r="D316" s="316"/>
      <c r="E316" s="316"/>
      <c r="F316" s="316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104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25">
      <c r="A322" s="223"/>
      <c r="B322" s="69"/>
      <c r="C322" s="236" t="s">
        <v>150</v>
      </c>
      <c r="D322" s="237">
        <v>248</v>
      </c>
      <c r="E322" s="29">
        <f>0.64855</f>
        <v>0.64854999999999996</v>
      </c>
      <c r="F322" s="29">
        <f>976.49305</f>
        <v>976.49305000000004</v>
      </c>
      <c r="G322" s="238">
        <f>D322-F322</f>
        <v>-728.49305000000004</v>
      </c>
      <c r="H322" s="29">
        <f>615.69008</f>
        <v>615.69007999999997</v>
      </c>
      <c r="I322" s="242"/>
      <c r="J322" s="127"/>
    </row>
    <row r="323" spans="1:10" ht="17.45" customHeight="1" x14ac:dyDescent="0.25">
      <c r="A323" s="223"/>
      <c r="B323" s="69"/>
      <c r="C323" s="239" t="s">
        <v>151</v>
      </c>
      <c r="D323" s="240">
        <v>22048</v>
      </c>
      <c r="E323" s="29">
        <f>22.95463</f>
        <v>22.954630000000002</v>
      </c>
      <c r="F323" s="29">
        <f>1661.56332</f>
        <v>1661.56332</v>
      </c>
      <c r="G323" s="241">
        <f>D323-F323</f>
        <v>20386.436679999999</v>
      </c>
      <c r="H323" s="29">
        <f>2076.23064</f>
        <v>2076.2306400000002</v>
      </c>
      <c r="I323" s="26"/>
      <c r="J323" s="127"/>
    </row>
    <row r="324" spans="1:10" ht="17.100000000000001" customHeight="1" x14ac:dyDescent="0.25">
      <c r="A324" s="223"/>
      <c r="B324" s="69"/>
      <c r="C324" s="306" t="s">
        <v>83</v>
      </c>
      <c r="D324" s="229">
        <f>D322+D323</f>
        <v>22296</v>
      </c>
      <c r="E324" s="39">
        <f>E323+E322</f>
        <v>23.603180000000002</v>
      </c>
      <c r="F324" s="39">
        <f>F323+F322</f>
        <v>2638.0563700000002</v>
      </c>
      <c r="G324" s="39">
        <f>G323+G322</f>
        <v>19657.943629999998</v>
      </c>
      <c r="H324" s="39">
        <f>H323+H322</f>
        <v>2691.9207200000001</v>
      </c>
      <c r="I324" s="26"/>
      <c r="J324" s="127"/>
    </row>
    <row r="325" spans="1:10" ht="22.5" customHeight="1" x14ac:dyDescent="0.25">
      <c r="A325" s="223"/>
      <c r="B325" s="69"/>
      <c r="C325" s="314" t="s">
        <v>152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109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141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142</v>
      </c>
      <c r="E332" s="212" t="s">
        <v>143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144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13" t="s">
        <v>145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104</v>
      </c>
      <c r="D342" s="19" t="s">
        <v>1</v>
      </c>
      <c r="E342" s="246" t="s">
        <v>146</v>
      </c>
      <c r="F342" s="246" t="s">
        <v>147</v>
      </c>
      <c r="G342" s="246" t="s">
        <v>148</v>
      </c>
      <c r="H342" s="224" t="s">
        <v>149</v>
      </c>
      <c r="I342" s="247"/>
      <c r="J342" s="13"/>
    </row>
    <row r="343" spans="1:10" ht="0" hidden="1" customHeight="1" x14ac:dyDescent="0.25">
      <c r="A343" s="223"/>
      <c r="B343" s="69"/>
      <c r="C343" s="225" t="s">
        <v>150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151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14" t="s">
        <v>152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40&amp;R06.10.2025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2025-10-06T10:36:16Z</dcterms:modified>
</cp:coreProperties>
</file>