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706F730A-BA36-42CC-97D6-E4B80E8B0A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5" i="1" l="1"/>
  <c r="G345" i="1"/>
  <c r="F345" i="1"/>
  <c r="E345" i="1"/>
  <c r="D345" i="1"/>
  <c r="G344" i="1"/>
  <c r="G343" i="1"/>
  <c r="E336" i="1"/>
  <c r="H324" i="1"/>
  <c r="F324" i="1"/>
  <c r="E324" i="1"/>
  <c r="D324" i="1"/>
  <c r="H323" i="1"/>
  <c r="G323" i="1"/>
  <c r="G324" i="1" s="1"/>
  <c r="F323" i="1"/>
  <c r="E323" i="1"/>
  <c r="H322" i="1"/>
  <c r="G322" i="1"/>
  <c r="F322" i="1"/>
  <c r="E322" i="1"/>
  <c r="E315" i="1"/>
  <c r="D315" i="1"/>
  <c r="H304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G300" i="1"/>
  <c r="F300" i="1"/>
  <c r="E300" i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E295" i="1"/>
  <c r="H294" i="1"/>
  <c r="F294" i="1"/>
  <c r="F304" i="1" s="1"/>
  <c r="G304" i="1" s="1"/>
  <c r="E294" i="1"/>
  <c r="E304" i="1" s="1"/>
  <c r="I273" i="1"/>
  <c r="E273" i="1"/>
  <c r="D273" i="1"/>
  <c r="I272" i="1"/>
  <c r="H272" i="1"/>
  <c r="G272" i="1"/>
  <c r="F272" i="1"/>
  <c r="I271" i="1"/>
  <c r="H271" i="1"/>
  <c r="G271" i="1"/>
  <c r="F271" i="1"/>
  <c r="I270" i="1"/>
  <c r="G270" i="1"/>
  <c r="F270" i="1"/>
  <c r="I269" i="1"/>
  <c r="G269" i="1"/>
  <c r="F269" i="1"/>
  <c r="I268" i="1"/>
  <c r="G268" i="1"/>
  <c r="H268" i="1" s="1"/>
  <c r="F268" i="1"/>
  <c r="I267" i="1"/>
  <c r="H267" i="1"/>
  <c r="G267" i="1"/>
  <c r="F267" i="1"/>
  <c r="I266" i="1"/>
  <c r="H266" i="1"/>
  <c r="G266" i="1"/>
  <c r="F266" i="1"/>
  <c r="I265" i="1"/>
  <c r="H265" i="1"/>
  <c r="H262" i="1" s="1"/>
  <c r="H273" i="1" s="1"/>
  <c r="G265" i="1"/>
  <c r="F265" i="1"/>
  <c r="I264" i="1"/>
  <c r="H264" i="1"/>
  <c r="G264" i="1"/>
  <c r="F264" i="1"/>
  <c r="I263" i="1"/>
  <c r="H263" i="1"/>
  <c r="G263" i="1"/>
  <c r="F263" i="1"/>
  <c r="I262" i="1"/>
  <c r="G262" i="1"/>
  <c r="G273" i="1" s="1"/>
  <c r="F262" i="1"/>
  <c r="F273" i="1" s="1"/>
  <c r="E262" i="1"/>
  <c r="D262" i="1"/>
  <c r="H254" i="1"/>
  <c r="F254" i="1"/>
  <c r="H241" i="1"/>
  <c r="F241" i="1"/>
  <c r="G241" i="1" s="1"/>
  <c r="E241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H219" i="1"/>
  <c r="F219" i="1"/>
  <c r="G219" i="1" s="1"/>
  <c r="E219" i="1"/>
  <c r="D219" i="1"/>
  <c r="H218" i="1"/>
  <c r="G218" i="1"/>
  <c r="F218" i="1"/>
  <c r="E218" i="1"/>
  <c r="H217" i="1"/>
  <c r="F217" i="1"/>
  <c r="E217" i="1"/>
  <c r="H216" i="1"/>
  <c r="F216" i="1"/>
  <c r="E216" i="1"/>
  <c r="H215" i="1"/>
  <c r="G215" i="1"/>
  <c r="F215" i="1"/>
  <c r="E215" i="1"/>
  <c r="H206" i="1"/>
  <c r="F206" i="1"/>
  <c r="G206" i="1" s="1"/>
  <c r="E206" i="1"/>
  <c r="D206" i="1"/>
  <c r="H205" i="1"/>
  <c r="G205" i="1"/>
  <c r="F205" i="1"/>
  <c r="E205" i="1"/>
  <c r="H204" i="1"/>
  <c r="F204" i="1"/>
  <c r="E204" i="1"/>
  <c r="H203" i="1"/>
  <c r="F203" i="1"/>
  <c r="E203" i="1"/>
  <c r="H202" i="1"/>
  <c r="G202" i="1"/>
  <c r="F202" i="1"/>
  <c r="E202" i="1"/>
  <c r="I192" i="1"/>
  <c r="G192" i="1"/>
  <c r="H192" i="1" s="1"/>
  <c r="F192" i="1"/>
  <c r="E192" i="1"/>
  <c r="D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H169" i="1"/>
  <c r="E16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F169" i="1" s="1"/>
  <c r="G169" i="1" s="1"/>
  <c r="E163" i="1"/>
  <c r="H162" i="1"/>
  <c r="G162" i="1"/>
  <c r="F162" i="1"/>
  <c r="E162" i="1"/>
  <c r="H161" i="1"/>
  <c r="F161" i="1"/>
  <c r="E161" i="1"/>
  <c r="H160" i="1"/>
  <c r="G160" i="1"/>
  <c r="F160" i="1"/>
  <c r="E160" i="1"/>
  <c r="E137" i="1"/>
  <c r="I135" i="1"/>
  <c r="H135" i="1"/>
  <c r="G135" i="1"/>
  <c r="F135" i="1"/>
  <c r="I134" i="1"/>
  <c r="H134" i="1"/>
  <c r="G134" i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G120" i="1" s="1"/>
  <c r="F126" i="1"/>
  <c r="E126" i="1"/>
  <c r="D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H120" i="1" s="1"/>
  <c r="G121" i="1"/>
  <c r="F121" i="1"/>
  <c r="F120" i="1" s="1"/>
  <c r="F137" i="1" s="1"/>
  <c r="E121" i="1"/>
  <c r="D121" i="1"/>
  <c r="I120" i="1"/>
  <c r="E120" i="1"/>
  <c r="D120" i="1"/>
  <c r="D137" i="1" s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I137" i="1" s="1"/>
  <c r="H115" i="1"/>
  <c r="H137" i="1" s="1"/>
  <c r="G115" i="1"/>
  <c r="F115" i="1"/>
  <c r="E115" i="1"/>
  <c r="D115" i="1"/>
  <c r="C113" i="1"/>
  <c r="G94" i="1"/>
  <c r="D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H83" i="1" s="1"/>
  <c r="H82" i="1" s="1"/>
  <c r="G84" i="1"/>
  <c r="F84" i="1"/>
  <c r="I83" i="1"/>
  <c r="I82" i="1" s="1"/>
  <c r="I94" i="1" s="1"/>
  <c r="G83" i="1"/>
  <c r="F83" i="1"/>
  <c r="F82" i="1" s="1"/>
  <c r="F94" i="1" s="1"/>
  <c r="E83" i="1"/>
  <c r="D83" i="1"/>
  <c r="G82" i="1"/>
  <c r="E82" i="1"/>
  <c r="E94" i="1" s="1"/>
  <c r="D82" i="1"/>
  <c r="I81" i="1"/>
  <c r="H81" i="1"/>
  <c r="H79" i="1" s="1"/>
  <c r="H94" i="1" s="1"/>
  <c r="G81" i="1"/>
  <c r="F81" i="1"/>
  <c r="I80" i="1"/>
  <c r="H80" i="1"/>
  <c r="G80" i="1"/>
  <c r="F80" i="1"/>
  <c r="I79" i="1"/>
  <c r="G79" i="1"/>
  <c r="F79" i="1"/>
  <c r="E79" i="1"/>
  <c r="D79" i="1"/>
  <c r="C76" i="1"/>
  <c r="H72" i="1"/>
  <c r="F72" i="1"/>
  <c r="D72" i="1"/>
  <c r="H58" i="1"/>
  <c r="H57" i="1"/>
  <c r="I52" i="1"/>
  <c r="H52" i="1"/>
  <c r="G52" i="1"/>
  <c r="F52" i="1"/>
  <c r="E42" i="1"/>
  <c r="D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H34" i="1"/>
  <c r="G34" i="1"/>
  <c r="F34" i="1"/>
  <c r="G33" i="1"/>
  <c r="H33" i="1" s="1"/>
  <c r="H25" i="1" s="1"/>
  <c r="F33" i="1"/>
  <c r="F25" i="1" s="1"/>
  <c r="E33" i="1"/>
  <c r="D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H26" i="1" s="1"/>
  <c r="G27" i="1"/>
  <c r="F27" i="1"/>
  <c r="I26" i="1"/>
  <c r="G26" i="1"/>
  <c r="F26" i="1"/>
  <c r="E26" i="1"/>
  <c r="D26" i="1"/>
  <c r="E25" i="1"/>
  <c r="D25" i="1"/>
  <c r="I24" i="1"/>
  <c r="H24" i="1"/>
  <c r="H22" i="1" s="1"/>
  <c r="G24" i="1"/>
  <c r="F24" i="1"/>
  <c r="I23" i="1"/>
  <c r="H23" i="1"/>
  <c r="G23" i="1"/>
  <c r="F23" i="1"/>
  <c r="I22" i="1"/>
  <c r="G22" i="1"/>
  <c r="F22" i="1"/>
  <c r="E22" i="1"/>
  <c r="D22" i="1"/>
  <c r="H16" i="1"/>
  <c r="F16" i="1"/>
  <c r="D16" i="1"/>
  <c r="I25" i="1" l="1"/>
  <c r="I42" i="1" s="1"/>
  <c r="G25" i="1"/>
  <c r="F42" i="1"/>
  <c r="H42" i="1"/>
  <c r="G42" i="1"/>
  <c r="G137" i="1"/>
  <c r="G163" i="1"/>
  <c r="G294" i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<sst xmlns="http://schemas.openxmlformats.org/spreadsheetml/2006/main" count="391" uniqueCount="166">
  <si>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</si>
  <si>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</si>
  <si>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</si>
  <si>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</si>
  <si>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</si>
  <si>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</si>
  <si>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</si>
  <si>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</si>
  <si>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</si>
  <si>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</si>
  <si>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</si>
  <si>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</si>
  <si>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</si>
  <si>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</si>
  <si>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</si>
  <si>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</si>
  <si>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</si>
  <si>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</si>
  <si>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</si>
  <si>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</si>
  <si>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</si>
  <si>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</si>
  <si>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</si>
  <si>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</si>
  <si>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</si>
  <si>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</si>
  <si>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</si>
  <si>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</si>
  <si>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</si>
  <si>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</si>
  <si>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</si>
  <si>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</si>
  <si>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</si>
  <si>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</si>
  <si>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</si>
  <si>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</si>
  <si>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</si>
  <si>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</si>
  <si>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</si>
  <si>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</si>
  <si>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</si>
  <si>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</si>
  <si>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</si>
  <si>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</si>
  <si>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</si>
  <si>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</si>
  <si>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</si>
  <si>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</si>
  <si>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</si>
  <si>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</si>
  <si>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</si>
  <si>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</si>
  <si>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</si>
  <si>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</si>
  <si>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</si>
  <si>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</si>
  <si>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</si>
  <si>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</si>
  <si>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</si>
  <si>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</si>
  <si>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</si>
  <si>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</si>
  <si>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</si>
  <si>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</si>
  <si>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</si>
  <si>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</si>
  <si>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</si>
  <si>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</si>
  <si>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</si>
  <si>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</si>
  <si>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</si>
  <si>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</si>
  <si>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</si>
  <si>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</si>
  <si>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</si>
  <si>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</si>
  <si>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</si>
  <si>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</si>
  <si>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</si>
  <si>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</si>
  <si>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</si>
  <si>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</si>
  <si>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</si>
  <si>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</si>
  <si>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</si>
  <si>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</si>
  <si>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</si>
  <si>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</si>
  <si>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</si>
  <si>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</si>
  <si>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</si>
  <si>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</si>
  <si>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</si>
  <si>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</si>
  <si>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</si>
  <si>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</si>
  <si>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</si>
  <si>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</si>
  <si>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</si>
  <si>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</si>
  <si>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</si>
  <si>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</si>
  <si>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</si>
  <si>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</si>
  <si>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</si>
  <si>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</si>
  <si>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</si>
  <si>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</si>
  <si>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</si>
  <si>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</si>
  <si>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</si>
  <si>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</si>
  <si>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</si>
  <si>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</si>
  <si>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</si>
  <si>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</si>
  <si>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</si>
  <si>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</si>
  <si>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</si>
  <si>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</si>
  <si>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</si>
  <si>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</si>
  <si>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</si>
  <si>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</si>
  <si>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</si>
  <si>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</si>
  <si>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</si>
  <si>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</si>
  <si>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</si>
  <si>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</si>
  <si>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</si>
  <si>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</si>
  <si>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</si>
  <si>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</si>
  <si>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</si>
  <si>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</si>
  <si>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</si>
  <si>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</si>
  <si>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</si>
  <si>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</si>
  <si>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</si>
  <si>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</si>
  <si>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</si>
  <si>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</si>
  <si>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</si>
  <si>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</si>
  <si>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</si>
  <si>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</si>
  <si>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</si>
  <si>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</si>
  <si>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</si>
  <si>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</si>
  <si>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</si>
  <si>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</si>
  <si>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</si>
  <si>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</si>
  <si>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</si>
  <si>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</si>
  <si>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21 tonn, men det legges til grunn at hele avsetningen tas</t>
  </si>
  <si>
    <t>4 Registrert rekreasjonsfiske utgjør 96 tonn, men det legges til grunn at hele avsetningen tas</t>
  </si>
  <si>
    <t>3 Registrert rekreasjonsfiske utgjør 236 tonn, men det legges til grunn at hele avsetningen tas</t>
  </si>
  <si>
    <t>FANGST UKE 12</t>
  </si>
  <si>
    <t>FANGST T.O.M UKE 12</t>
  </si>
  <si>
    <t>RESTKVOTER UKE 12</t>
  </si>
  <si>
    <t>FANGST T.O.M UKE 12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</si>
  <si>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Belastning av notkvoten er ikke beregnet i denne statikken for denne uken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</si>
</sst>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50" zoomScale="112" zoomScaleNormal="55" zoomScaleSheetLayoutView="100" zoomScalePageLayoutView="85" workbookViewId="0">
      <selection activeCell="F61" sqref="F6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1193.0145</v>
      </c>
      <c r="G22" s="27">
        <f t="shared" si="0"/>
        <v>8078.4647199999999</v>
      </c>
      <c r="H22" s="10">
        <f>H24+H23</f>
        <v>24456.53528</v>
      </c>
      <c r="I22" s="10">
        <f t="shared" si="0"/>
        <v>10740.108120000001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/>
      <c r="F23" s="22">
        <f>1193.0145</f>
        <v>1193.0145</v>
      </c>
      <c r="G23" s="22">
        <f>8041.77922</f>
        <v>8041.7792200000004</v>
      </c>
      <c r="H23" s="22">
        <f>D23-G23</f>
        <v>23743.22078</v>
      </c>
      <c r="I23" s="22">
        <f>10605.87612</f>
        <v>10605.876120000001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36.6855</f>
        <v>36.685499999999998</v>
      </c>
      <c r="H24" s="22">
        <f>D24-G24</f>
        <v>713.31449999999995</v>
      </c>
      <c r="I24" s="22">
        <f>134.232</f>
        <v>134.232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5564.3032999999996</v>
      </c>
      <c r="G25" s="10">
        <f t="shared" si="1"/>
        <v>53469.504990000001</v>
      </c>
      <c r="H25" s="10">
        <f t="shared" si="1"/>
        <v>41992.495009999999</v>
      </c>
      <c r="I25" s="10">
        <f t="shared" si="1"/>
        <v>58446.459849999999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4467.4088299999994</v>
      </c>
      <c r="G26" s="129">
        <f>G27+G28+G29+G30+G31</f>
        <v>45350.273240000002</v>
      </c>
      <c r="H26" s="129">
        <f t="shared" ref="H26:I26" si="2">H27+H28+H29+H30+H31</f>
        <v>30137.726759999998</v>
      </c>
      <c r="I26" s="129">
        <f t="shared" si="2"/>
        <v>49577.57404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/>
      <c r="F27" s="209">
        <f>1599.00138 - F53</f>
        <v>1599.0013799999999</v>
      </c>
      <c r="G27" s="123">
        <f>11632.72133 - G53</f>
        <v>11632.72133</v>
      </c>
      <c r="H27" s="123">
        <f t="shared" ref="H27:H41" si="3">D27-G27</f>
        <v>7531.2786699999997</v>
      </c>
      <c r="I27" s="123">
        <f>12139.03449 - I53</f>
        <v>12139.03449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/>
      <c r="F28" s="123">
        <f>1514.33567 - F54</f>
        <v>1514.3356699999999</v>
      </c>
      <c r="G28" s="123">
        <f>13605.73181 - G54</f>
        <v>13605.731809999999</v>
      </c>
      <c r="H28" s="123">
        <f t="shared" si="3"/>
        <v>5430.2681900000007</v>
      </c>
      <c r="I28" s="123">
        <f>14331.23616 - I54</f>
        <v>14331.23616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/>
      <c r="F29" s="123">
        <f>1094.84053 - F55</f>
        <v>1094.8405299999999</v>
      </c>
      <c r="G29" s="123">
        <f>11529.93123 - G55</f>
        <v>11529.93123</v>
      </c>
      <c r="H29" s="123">
        <f t="shared" si="3"/>
        <v>5877.0687699999999</v>
      </c>
      <c r="I29" s="123">
        <f>13149.62502 - I55</f>
        <v>13149.625019999999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/>
      <c r="F30" s="123">
        <f>259.23125 - F56</f>
        <v>259.23124999999999</v>
      </c>
      <c r="G30" s="123">
        <f>8581.88887 - G56</f>
        <v>8581.8888700000007</v>
      </c>
      <c r="H30" s="123">
        <f t="shared" si="3"/>
        <v>4214.1111299999993</v>
      </c>
      <c r="I30" s="123">
        <f>9957.67837 - I56</f>
        <v>9957.6783699999996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/>
      <c r="F32" s="129">
        <f>9.49958</f>
        <v>9.4995799999999999</v>
      </c>
      <c r="G32" s="129">
        <f>2954.85136</f>
        <v>2954.8513600000001</v>
      </c>
      <c r="H32" s="129">
        <f t="shared" si="3"/>
        <v>7762.1486399999994</v>
      </c>
      <c r="I32" s="129">
        <f>3799.68441</f>
        <v>3799.6844099999998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1087.39489</v>
      </c>
      <c r="G33" s="129">
        <f>G34+G35</f>
        <v>5164.3803900000003</v>
      </c>
      <c r="H33" s="129">
        <f t="shared" si="3"/>
        <v>4092.6196099999997</v>
      </c>
      <c r="I33" s="129">
        <f>I34+I35</f>
        <v>5069.2013999999999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/>
      <c r="F34" s="123">
        <f>1296.39489 - F57 - F58</f>
        <v>1087.39489</v>
      </c>
      <c r="G34" s="129">
        <f>5983.38039 - G57 - G58</f>
        <v>5164.3803900000003</v>
      </c>
      <c r="H34" s="123">
        <f t="shared" si="3"/>
        <v>3227.6196099999997</v>
      </c>
      <c r="I34" s="123">
        <f>5632.2014 - I57 - I58</f>
        <v>5069.2013999999999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/>
      <c r="F36" s="136">
        <f>3.128</f>
        <v>3.1280000000000001</v>
      </c>
      <c r="G36" s="136">
        <f>314.5596</f>
        <v>314.55959999999999</v>
      </c>
      <c r="H36" s="136">
        <f t="shared" si="3"/>
        <v>185.44040000000001</v>
      </c>
      <c r="I36" s="136">
        <f>240.9548</f>
        <v>240.95480000000001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/>
      <c r="F37" s="95">
        <f>50.69685</f>
        <v>50.696849999999998</v>
      </c>
      <c r="G37" s="95">
        <f>366.00405</f>
        <v>366.00405000000001</v>
      </c>
      <c r="H37" s="95">
        <f t="shared" si="3"/>
        <v>513.99594999999999</v>
      </c>
      <c r="I37" s="95">
        <f>326.05406</f>
        <v>326.05405999999999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/>
      <c r="F38" s="95">
        <f>F58</f>
        <v>209</v>
      </c>
      <c r="G38" s="95">
        <f>G58</f>
        <v>819</v>
      </c>
      <c r="H38" s="95">
        <f t="shared" si="3"/>
        <v>2181</v>
      </c>
      <c r="I38" s="95">
        <f>I58</f>
        <v>563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/>
      <c r="F39" s="95">
        <f>34.85725</f>
        <v>34.857250000000001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/>
      <c r="F40" s="95">
        <f>42.4038</f>
        <v>42.403799999999997</v>
      </c>
      <c r="G40" s="95">
        <f>144.42498</f>
        <v>144.42498000000001</v>
      </c>
      <c r="H40" s="95">
        <f t="shared" si="3"/>
        <v>305.57501999999999</v>
      </c>
      <c r="I40" s="95">
        <f>128.23621</f>
        <v>128.23621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31.9384</f>
        <v>31.938400000000001</v>
      </c>
      <c r="H41" s="136">
        <f t="shared" si="3"/>
        <v>-31.938400000000001</v>
      </c>
      <c r="I41" s="136">
        <f>24.478</f>
        <v>24.478000000000002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7097.4036999999998</v>
      </c>
      <c r="G42" s="73">
        <f t="shared" si="4"/>
        <v>63223.896740000011</v>
      </c>
      <c r="H42" s="73">
        <f t="shared" si="4"/>
        <v>76603.103260000004</v>
      </c>
      <c r="I42" s="73">
        <f t="shared" si="4"/>
        <v>70469.291040000011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/>
      <c r="F52" s="10">
        <f>F56+F55+F54+F53</f>
        <v>0</v>
      </c>
      <c r="G52" s="10">
        <f>G56+G55+G54+G53</f>
        <v>0</v>
      </c>
      <c r="H52" s="325">
        <f>D52-G52</f>
        <v>7085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/>
      <c r="F58" s="136">
        <v>209</v>
      </c>
      <c r="G58" s="136">
        <v>819</v>
      </c>
      <c r="H58" s="136">
        <f>D58-G58</f>
        <v>2181</v>
      </c>
      <c r="I58" s="136">
        <v>563</v>
      </c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1691.8591200000001</v>
      </c>
      <c r="G79" s="10">
        <f t="shared" si="5"/>
        <v>7914.0141200000007</v>
      </c>
      <c r="H79" s="10">
        <f t="shared" si="5"/>
        <v>20480.98588</v>
      </c>
      <c r="I79" s="10">
        <f t="shared" si="5"/>
        <v>9699.1476700000003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/>
      <c r="F80" s="22">
        <f>1691.85912</f>
        <v>1691.8591200000001</v>
      </c>
      <c r="G80" s="22">
        <f>7874.86732</f>
        <v>7874.8673200000003</v>
      </c>
      <c r="H80" s="22">
        <f>D80-G80</f>
        <v>19770.132679999999</v>
      </c>
      <c r="I80" s="22">
        <f>9476.39507</f>
        <v>9476.3950700000005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39.1468</f>
        <v>39.146799999999999</v>
      </c>
      <c r="H81" s="48">
        <f>D81-G81</f>
        <v>710.85320000000002</v>
      </c>
      <c r="I81" s="48">
        <f>222.7526</f>
        <v>222.7526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597.13568999999995</v>
      </c>
      <c r="G82" s="10">
        <f t="shared" si="6"/>
        <v>8720.4243600000009</v>
      </c>
      <c r="H82" s="10">
        <f>H83+H88+H89</f>
        <v>38560.575639999995</v>
      </c>
      <c r="I82" s="10">
        <f t="shared" si="6"/>
        <v>12370.281569999999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540.28206</v>
      </c>
      <c r="G83" s="129">
        <f t="shared" si="7"/>
        <v>6223.78053</v>
      </c>
      <c r="H83" s="129">
        <f t="shared" si="7"/>
        <v>29012.21947</v>
      </c>
      <c r="I83" s="129">
        <f t="shared" si="7"/>
        <v>9486.9751500000002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/>
      <c r="F84" s="123">
        <f>65.67561</f>
        <v>65.675610000000006</v>
      </c>
      <c r="G84" s="123">
        <f>1841.69548</f>
        <v>1841.6954800000001</v>
      </c>
      <c r="H84" s="123">
        <f t="shared" ref="H84:H93" si="8">D84-G84</f>
        <v>7583.3045199999997</v>
      </c>
      <c r="I84" s="123">
        <f>1995.18752</f>
        <v>1995.1875199999999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/>
      <c r="F85" s="123">
        <f>162.82551</f>
        <v>162.82551000000001</v>
      </c>
      <c r="G85" s="123">
        <f>1768.43688</f>
        <v>1768.43688</v>
      </c>
      <c r="H85" s="123">
        <f t="shared" si="8"/>
        <v>8032.5631199999998</v>
      </c>
      <c r="I85" s="123">
        <f>2243.75891</f>
        <v>2243.75891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/>
      <c r="F86" s="123">
        <f>177.19456</f>
        <v>177.19456</v>
      </c>
      <c r="G86" s="123">
        <f>1457.96359</f>
        <v>1457.9635900000001</v>
      </c>
      <c r="H86" s="123">
        <f t="shared" si="8"/>
        <v>8141.0364099999997</v>
      </c>
      <c r="I86" s="123">
        <f>2723.48212</f>
        <v>2723.4821200000001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/>
      <c r="F87" s="123">
        <f>134.58638</f>
        <v>134.58637999999999</v>
      </c>
      <c r="G87" s="123">
        <f>1155.68458</f>
        <v>1155.6845800000001</v>
      </c>
      <c r="H87" s="123">
        <f t="shared" si="8"/>
        <v>5255.3154199999999</v>
      </c>
      <c r="I87" s="123">
        <f>2524.5466</f>
        <v>2524.5466000000001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/>
      <c r="F88" s="129">
        <f>0.60079</f>
        <v>0.60079000000000005</v>
      </c>
      <c r="G88" s="129">
        <f>1547.21417</f>
        <v>1547.21417</v>
      </c>
      <c r="H88" s="129">
        <f t="shared" si="8"/>
        <v>6791.7858299999998</v>
      </c>
      <c r="I88" s="129">
        <f>2117.49722</f>
        <v>2117.4972200000002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/>
      <c r="F89" s="72">
        <f>56.25284</f>
        <v>56.252839999999999</v>
      </c>
      <c r="G89" s="72">
        <f>949.42966</f>
        <v>949.42966000000001</v>
      </c>
      <c r="H89" s="72">
        <f t="shared" si="8"/>
        <v>2756.5703400000002</v>
      </c>
      <c r="I89" s="72">
        <f>765.8092</f>
        <v>765.80920000000003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/>
      <c r="F90" s="95">
        <f>0.00114</f>
        <v>1.14E-3</v>
      </c>
      <c r="G90" s="95">
        <f>10.55576</f>
        <v>10.555759999999999</v>
      </c>
      <c r="H90" s="95">
        <f t="shared" si="8"/>
        <v>308.44423999999998</v>
      </c>
      <c r="I90" s="95">
        <f>20.8459</f>
        <v>20.8459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/>
      <c r="F91" s="136">
        <f>1.74848</f>
        <v>1.74848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/>
      <c r="F92" s="95">
        <f>0.05114</f>
        <v>5.1139999999999998E-2</v>
      </c>
      <c r="G92" s="95">
        <f>2.43973</f>
        <v>2.43973</v>
      </c>
      <c r="H92" s="136">
        <f t="shared" si="8"/>
        <v>47.560270000000003</v>
      </c>
      <c r="I92" s="95">
        <f>8.25087</f>
        <v>8.2508700000000008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0.15</f>
        <v>0.15</v>
      </c>
      <c r="G93" s="136">
        <f>1.89116</f>
        <v>1.89116</v>
      </c>
      <c r="H93" s="136">
        <f t="shared" si="8"/>
        <v>-1.89116</v>
      </c>
      <c r="I93" s="136">
        <f>1.0708</f>
        <v>1.0708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2290.9455700000003</v>
      </c>
      <c r="G94" s="73">
        <f t="shared" si="10"/>
        <v>16649.325129999997</v>
      </c>
      <c r="H94" s="73">
        <f t="shared" si="10"/>
        <v>59695.674869999995</v>
      </c>
      <c r="I94" s="73">
        <f t="shared" si="10"/>
        <v>22099.596809999999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1006.08038</v>
      </c>
      <c r="G115" s="10">
        <f t="shared" si="11"/>
        <v>10977.584549999998</v>
      </c>
      <c r="H115" s="10">
        <f t="shared" si="11"/>
        <v>43268.41545</v>
      </c>
      <c r="I115" s="10">
        <f t="shared" si="11"/>
        <v>22164.732219999998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/>
      <c r="F116" s="22">
        <f>1004.83038</f>
        <v>1004.83038</v>
      </c>
      <c r="G116" s="22">
        <f>9878.89375</f>
        <v>9878.8937499999993</v>
      </c>
      <c r="H116" s="22">
        <f>D116-G116</f>
        <v>33518.106249999997</v>
      </c>
      <c r="I116" s="22">
        <f>20253.35807</f>
        <v>20253.358069999998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1032.2748</f>
        <v>1032.2747999999999</v>
      </c>
      <c r="H117" s="22">
        <f>D117-G117</f>
        <v>9316.7252000000008</v>
      </c>
      <c r="I117" s="22">
        <f>1848.9627</f>
        <v>1848.9627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/>
      <c r="F118" s="22">
        <f>1.25</f>
        <v>1.25</v>
      </c>
      <c r="G118" s="22">
        <f>66.416</f>
        <v>66.415999999999997</v>
      </c>
      <c r="H118" s="53">
        <f>D118-G118</f>
        <v>433.584</v>
      </c>
      <c r="I118" s="22">
        <f>62.41145</f>
        <v>62.411450000000002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/>
      <c r="F119" s="92">
        <f>0</f>
        <v>0</v>
      </c>
      <c r="G119" s="92">
        <f>93.469</f>
        <v>93.468999999999994</v>
      </c>
      <c r="H119" s="92">
        <f>D119-G119</f>
        <v>36559.531000000003</v>
      </c>
      <c r="I119" s="92">
        <f>23.155</f>
        <v>23.155000000000001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0</v>
      </c>
      <c r="F120" s="91">
        <f>F121+F126+F129</f>
        <v>586.34789000000001</v>
      </c>
      <c r="G120" s="91">
        <f t="shared" ref="G120" si="12">G121+G126+G129</f>
        <v>15544.85968</v>
      </c>
      <c r="H120" s="91">
        <f>H121+H126+H129</f>
        <v>41565.140319999999</v>
      </c>
      <c r="I120" s="91">
        <f>I121+I126+I129</f>
        <v>27122.763639999997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308.61914000000002</v>
      </c>
      <c r="G121" s="121">
        <f>G122+G123+G125+G124</f>
        <v>12300.969810000001</v>
      </c>
      <c r="H121" s="121">
        <f>H122+H123+H124+H125</f>
        <v>30881.030190000001</v>
      </c>
      <c r="I121" s="121">
        <f>I122+I123+I124+I125</f>
        <v>20763.927319999999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/>
      <c r="F122" s="123">
        <f>103.05268</f>
        <v>103.05268</v>
      </c>
      <c r="G122" s="123">
        <f>3566.33681</f>
        <v>3566.3368099999998</v>
      </c>
      <c r="H122" s="123">
        <f>D122-G122</f>
        <v>7909.6631900000002</v>
      </c>
      <c r="I122" s="123">
        <f>4833.75214</f>
        <v>4833.7521399999996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/>
      <c r="F123" s="123">
        <f>139.24625</f>
        <v>139.24625</v>
      </c>
      <c r="G123" s="123">
        <f>4200.3174</f>
        <v>4200.3173999999999</v>
      </c>
      <c r="H123" s="123">
        <f>D123-G123</f>
        <v>7634.6826000000001</v>
      </c>
      <c r="I123" s="123">
        <f>6857.43854</f>
        <v>6857.4385400000001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/>
      <c r="F124" s="123">
        <f>31.80072</f>
        <v>31.800719999999998</v>
      </c>
      <c r="G124" s="123">
        <f>2605.05652</f>
        <v>2605.0565200000001</v>
      </c>
      <c r="H124" s="123">
        <f>D124-G124</f>
        <v>7867.9434799999999</v>
      </c>
      <c r="I124" s="123">
        <f>4549.47825</f>
        <v>4549.4782500000001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/>
      <c r="F125" s="123">
        <f>34.51949</f>
        <v>34.519489999999998</v>
      </c>
      <c r="G125" s="123">
        <f>1929.25908</f>
        <v>1929.25908</v>
      </c>
      <c r="H125" s="123">
        <f>D125-G125</f>
        <v>7468.7409200000002</v>
      </c>
      <c r="I125" s="123">
        <f>4523.25839</f>
        <v>4523.25839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0</v>
      </c>
      <c r="F126" s="129">
        <f>SUM(F127:F128)</f>
        <v>143.62513999999999</v>
      </c>
      <c r="G126" s="129">
        <f>SUM(G127:G128)</f>
        <v>1061.1441199999999</v>
      </c>
      <c r="H126" s="129">
        <f>H127+H128</f>
        <v>5066.8558800000001</v>
      </c>
      <c r="I126" s="129">
        <f>SUM(I127:I128)</f>
        <v>4208.9256999999998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/>
      <c r="F127" s="123">
        <f>142.01762</f>
        <v>142.01761999999999</v>
      </c>
      <c r="G127" s="123">
        <f>939.5317</f>
        <v>939.5317</v>
      </c>
      <c r="H127" s="123">
        <f t="shared" ref="H127:H135" si="13">D127-G127</f>
        <v>4688.4683000000005</v>
      </c>
      <c r="I127" s="123">
        <f>4117.13851</f>
        <v>4117.1385099999998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/>
      <c r="F128" s="123">
        <f>1.60752</f>
        <v>1.6075200000000001</v>
      </c>
      <c r="G128" s="123">
        <f>121.61242</f>
        <v>121.61242</v>
      </c>
      <c r="H128" s="123">
        <f t="shared" si="13"/>
        <v>378.38758000000001</v>
      </c>
      <c r="I128" s="123">
        <f>91.78719</f>
        <v>91.787189999999995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/>
      <c r="F129" s="72">
        <f>134.10361</f>
        <v>134.10361</v>
      </c>
      <c r="G129" s="72">
        <f>2182.74575</f>
        <v>2182.74575</v>
      </c>
      <c r="H129" s="72">
        <f t="shared" si="13"/>
        <v>5617.25425</v>
      </c>
      <c r="I129" s="72">
        <f>2149.91062</f>
        <v>2149.9106200000001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/>
      <c r="F130" s="136">
        <f>0.08995</f>
        <v>8.9950000000000002E-2</v>
      </c>
      <c r="G130" s="136">
        <f>11.80635</f>
        <v>11.80635</v>
      </c>
      <c r="H130" s="136">
        <f t="shared" si="13"/>
        <v>144.19364999999999</v>
      </c>
      <c r="I130" s="136">
        <f>10.40918</f>
        <v>10.409179999999999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/>
      <c r="F132" s="136">
        <f>6.13182</f>
        <v>6.1318200000000003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/>
      <c r="F134" s="95">
        <f>0.09607</f>
        <v>9.6070000000000003E-2</v>
      </c>
      <c r="G134" s="95">
        <f>3.65547</f>
        <v>3.6554700000000002</v>
      </c>
      <c r="H134" s="136">
        <f t="shared" si="13"/>
        <v>251.34452999999999</v>
      </c>
      <c r="I134" s="95">
        <f>68.75138</f>
        <v>68.751379999999997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63.65505</f>
        <v>63.655050000000003</v>
      </c>
      <c r="H135" s="136">
        <f t="shared" si="13"/>
        <v>-63.655050000000003</v>
      </c>
      <c r="I135" s="136">
        <f>41.86135</f>
        <v>41.861350000000002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0</v>
      </c>
      <c r="F137" s="73">
        <f>F115+F119+F120+F130+F131+F132+F133+F134+F135</f>
        <v>1598.74611</v>
      </c>
      <c r="G137" s="73">
        <f>G115+G119+G120+G130+G131+G132+G133+G134+G135</f>
        <v>26695.0301</v>
      </c>
      <c r="H137" s="73">
        <f>H115+H119+H120+H130+H131+H132+H133+H134+H135</f>
        <v>124074.9699</v>
      </c>
      <c r="I137" s="73">
        <f>I115+I119+I120+I130+I131+I132+I133+I134+I135</f>
        <v>49431.672769999997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63.10114</f>
        <v>63.101140000000001</v>
      </c>
      <c r="F160" s="301">
        <f>362.41124</f>
        <v>362.41124000000002</v>
      </c>
      <c r="G160" s="42">
        <f>D160-F160-F161</f>
        <v>3164.8938000000003</v>
      </c>
      <c r="H160" s="301">
        <f>311.98761</f>
        <v>311.98761000000002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0</f>
        <v>0</v>
      </c>
      <c r="F161" s="148">
        <f>226.69496</f>
        <v>226.69496000000001</v>
      </c>
      <c r="G161" s="219"/>
      <c r="H161" s="148">
        <f>252.44511</f>
        <v>252.44511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15.76932</f>
        <v>15.76932</v>
      </c>
      <c r="G162" s="166">
        <f>D162-F162</f>
        <v>184.23068000000001</v>
      </c>
      <c r="H162" s="166">
        <f>26.85302</f>
        <v>26.853020000000001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3.7770600000000005</v>
      </c>
      <c r="F163" s="175">
        <f>F164+F165+F166</f>
        <v>73.694059999999993</v>
      </c>
      <c r="G163" s="175">
        <f>D163-F163</f>
        <v>5556.3059400000002</v>
      </c>
      <c r="H163" s="175">
        <f>H164+H165+H166</f>
        <v>67.271839999999997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1.45432</f>
        <v>1.4543200000000001</v>
      </c>
      <c r="F164" s="123">
        <f>24.96532</f>
        <v>24.965319999999998</v>
      </c>
      <c r="G164" s="123"/>
      <c r="H164" s="123">
        <f>24.4399</f>
        <v>24.439900000000002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0.84574</f>
        <v>0.84574000000000005</v>
      </c>
      <c r="F165" s="123">
        <f>35.33862</f>
        <v>35.338619999999999</v>
      </c>
      <c r="G165" s="123"/>
      <c r="H165" s="123">
        <f>24.84922</f>
        <v>24.849219999999999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1.477</f>
        <v>1.4770000000000001</v>
      </c>
      <c r="F166" s="186">
        <f>13.39012</f>
        <v>13.39012</v>
      </c>
      <c r="G166" s="186"/>
      <c r="H166" s="186">
        <f>17.98272</f>
        <v>17.98272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66.878200000000007</v>
      </c>
      <c r="F169" s="188">
        <f>F160+F161+F162+F163+F167+F168</f>
        <v>679.04554000000007</v>
      </c>
      <c r="G169" s="188">
        <f>D169-F169</f>
        <v>8995.9544600000008</v>
      </c>
      <c r="H169" s="188">
        <f>H160+H161+H162+H163+H167+H168</f>
        <v>658.55758000000003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/>
      <c r="F189" s="124">
        <f>691.26528</f>
        <v>691.26527999999996</v>
      </c>
      <c r="G189" s="124">
        <f>14490.84752</f>
        <v>14490.847519999999</v>
      </c>
      <c r="H189" s="124">
        <f>D189-G189</f>
        <v>31070.152480000001</v>
      </c>
      <c r="I189" s="124">
        <f>16697.81416</f>
        <v>16697.814160000002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/>
      <c r="F190" s="124">
        <f>0.002</f>
        <v>2E-3</v>
      </c>
      <c r="G190" s="124">
        <f>3.25542</f>
        <v>3.25542</v>
      </c>
      <c r="H190" s="124">
        <f>D190-G190</f>
        <v>96.744579999999999</v>
      </c>
      <c r="I190" s="124">
        <f>4.04494</f>
        <v>4.0449400000000004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691.26727999999991</v>
      </c>
      <c r="G192" s="190">
        <f>SUM(G189:G191)</f>
        <v>14494.102939999999</v>
      </c>
      <c r="H192" s="190">
        <f>D192-G192</f>
        <v>31212.897060000003</v>
      </c>
      <c r="I192" s="190">
        <f>SUM(I189:I191)</f>
        <v>16701.859100000001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49.981380000000001</v>
      </c>
      <c r="F202" s="72">
        <f>F203+F204</f>
        <v>1572.9303299999999</v>
      </c>
      <c r="G202" s="72">
        <f>D202-F202</f>
        <v>1629.0696700000001</v>
      </c>
      <c r="H202" s="72">
        <f>H203+H204</f>
        <v>992.58494999999994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22.24804</f>
        <v>22.24804</v>
      </c>
      <c r="F203" s="72">
        <f>1224.41446</f>
        <v>1224.41446</v>
      </c>
      <c r="G203" s="72"/>
      <c r="H203" s="72">
        <f>643.32533</f>
        <v>643.32533000000001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27.73334</f>
        <v>27.733339999999998</v>
      </c>
      <c r="F204" s="124">
        <f>348.51587</f>
        <v>348.51587000000001</v>
      </c>
      <c r="G204" s="168"/>
      <c r="H204" s="124">
        <f>349.25962</f>
        <v>349.25961999999998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79.89058</f>
        <v>79.89058</v>
      </c>
      <c r="F205" s="72">
        <f>1185.20272</f>
        <v>1185.20272</v>
      </c>
      <c r="G205" s="72">
        <f>D205-F205</f>
        <v>2518.7972799999998</v>
      </c>
      <c r="H205" s="72">
        <f>983.43095</f>
        <v>983.43095000000005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129.87196</v>
      </c>
      <c r="F206" s="190">
        <f>SUM(F202,F205)</f>
        <v>2758.1330499999999</v>
      </c>
      <c r="G206" s="190">
        <f>D206-F206</f>
        <v>4147.8669499999996</v>
      </c>
      <c r="H206" s="190">
        <f>SUM(H202,H205)</f>
        <v>1976.0158999999999</v>
      </c>
      <c r="I206" s="275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23.425380000000001</v>
      </c>
      <c r="F215" s="72">
        <f>F216+F217</f>
        <v>1940.65527</v>
      </c>
      <c r="G215" s="72">
        <f>D215-F215</f>
        <v>3575.3447299999998</v>
      </c>
      <c r="H215" s="72">
        <f>H216+H217</f>
        <v>1110.68343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3.84574</f>
        <v>3.8457400000000002</v>
      </c>
      <c r="F216" s="72">
        <f>1745.4011</f>
        <v>1745.4011</v>
      </c>
      <c r="G216" s="72"/>
      <c r="H216" s="72">
        <f>917.45842</f>
        <v>917.45842000000005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19.57964</f>
        <v>19.579640000000001</v>
      </c>
      <c r="F217" s="124">
        <f>195.25417</f>
        <v>195.25416999999999</v>
      </c>
      <c r="G217" s="168"/>
      <c r="H217" s="124">
        <f>193.22501</f>
        <v>193.22501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54.99423</f>
        <v>54.994230000000002</v>
      </c>
      <c r="F218" s="72">
        <f>1168.67317</f>
        <v>1168.67317</v>
      </c>
      <c r="G218" s="72">
        <f>D218-F218</f>
        <v>2063.32683</v>
      </c>
      <c r="H218" s="72">
        <f>826.62795</f>
        <v>826.62795000000006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78.419610000000006</v>
      </c>
      <c r="F219" s="190">
        <f>SUM(F215,F218)</f>
        <v>3109.3284400000002</v>
      </c>
      <c r="G219" s="190">
        <f>D219-F219</f>
        <v>5638.6715599999998</v>
      </c>
      <c r="H219" s="190">
        <f>SUM(H215,H218)</f>
        <v>1937.3113800000001</v>
      </c>
      <c r="I219" s="275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3.62897</f>
        <v>3.6289699999999998</v>
      </c>
      <c r="F237" s="124">
        <f>37.76486</f>
        <v>37.764859999999999</v>
      </c>
      <c r="G237" s="124">
        <f>D237-F237</f>
        <v>762.23514</v>
      </c>
      <c r="H237" s="124">
        <f>94.68115</f>
        <v>94.681150000000002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3.43987</f>
        <v>3.43987</v>
      </c>
      <c r="F238" s="124">
        <f>112.24878</f>
        <v>112.24878</v>
      </c>
      <c r="G238" s="124">
        <f>D238-F238</f>
        <v>593.75121999999999</v>
      </c>
      <c r="H238" s="124">
        <f>196.99369</f>
        <v>196.99368999999999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0.018</f>
        <v>1.7999999999999999E-2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7.0688399999999998</v>
      </c>
      <c r="F241" s="190">
        <f>SUM(F237:F240)</f>
        <v>150.05864</v>
      </c>
      <c r="G241" s="190">
        <f>D241-F241</f>
        <v>1365.94136</v>
      </c>
      <c r="H241" s="190">
        <f>H237+H238+H239+H240</f>
        <v>291.74698000000001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47.925269999999998</v>
      </c>
      <c r="G262" s="280">
        <f t="shared" si="15"/>
        <v>585.04057999999998</v>
      </c>
      <c r="H262" s="280">
        <f>H266+H265+H264+H263</f>
        <v>14629.959419999999</v>
      </c>
      <c r="I262" s="280">
        <f t="shared" si="15"/>
        <v>1301.7652399999999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/>
      <c r="F263" s="284">
        <f>4.00275</f>
        <v>4.0027499999999998</v>
      </c>
      <c r="G263" s="284">
        <f>133.22097</f>
        <v>133.22096999999999</v>
      </c>
      <c r="H263" s="284">
        <f t="shared" ref="H263:H268" si="16">D263-G263</f>
        <v>7323.7790299999997</v>
      </c>
      <c r="I263" s="284">
        <f>546.83349</f>
        <v>546.83348999999998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18.09</f>
        <v>18.09</v>
      </c>
      <c r="H264" s="284">
        <f t="shared" si="16"/>
        <v>1922.91</v>
      </c>
      <c r="I264" s="284">
        <f>121.905</f>
        <v>121.905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/>
      <c r="F265" s="284">
        <f>37.42932</f>
        <v>37.429319999999997</v>
      </c>
      <c r="G265" s="284">
        <f>348.37841</f>
        <v>348.37840999999997</v>
      </c>
      <c r="H265" s="284">
        <f t="shared" si="16"/>
        <v>989.62158999999997</v>
      </c>
      <c r="I265" s="284">
        <f>353.49056</f>
        <v>353.49056000000002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/>
      <c r="F266" s="284">
        <f>6.4932</f>
        <v>6.4931999999999999</v>
      </c>
      <c r="G266" s="284">
        <f>85.3512</f>
        <v>85.351200000000006</v>
      </c>
      <c r="H266" s="284">
        <f t="shared" si="16"/>
        <v>4393.6487999999999</v>
      </c>
      <c r="I266" s="284">
        <f>279.53619</f>
        <v>279.53618999999998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/>
      <c r="F267" s="294">
        <f>1.163</f>
        <v>1.163</v>
      </c>
      <c r="G267" s="294">
        <f>28.775</f>
        <v>28.774999999999999</v>
      </c>
      <c r="H267" s="294">
        <f t="shared" si="16"/>
        <v>5471.2250000000004</v>
      </c>
      <c r="I267" s="294">
        <f>19.88</f>
        <v>19.88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/>
      <c r="F268" s="295">
        <f>F270+F269</f>
        <v>7.5262000000000002</v>
      </c>
      <c r="G268" s="295">
        <f>G270+G269</f>
        <v>690.45362999999998</v>
      </c>
      <c r="H268" s="295">
        <f t="shared" si="16"/>
        <v>7309.54637</v>
      </c>
      <c r="I268" s="295">
        <f>I270+I269</f>
        <v>1006.1115299999999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304.11017</f>
        <v>304.11016999999998</v>
      </c>
      <c r="H269" s="284"/>
      <c r="I269" s="284">
        <f>446.46788</f>
        <v>446.46787999999998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7.5262</f>
        <v>7.5262000000000002</v>
      </c>
      <c r="G270" s="303">
        <f>386.34346</f>
        <v>386.34345999999999</v>
      </c>
      <c r="H270" s="303"/>
      <c r="I270" s="303">
        <f>559.64365</f>
        <v>559.64364999999998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0.1903</f>
        <v>0.1903</v>
      </c>
      <c r="G272" s="294">
        <f>1.85247</f>
        <v>1.8524700000000001</v>
      </c>
      <c r="H272" s="294">
        <f>D272-G272</f>
        <v>-1.8524700000000001</v>
      </c>
      <c r="I272" s="294">
        <f>3.84525</f>
        <v>3.8452500000000001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56.804769999999998</v>
      </c>
      <c r="G273" s="312">
        <f t="shared" si="17"/>
        <v>1306.12168</v>
      </c>
      <c r="H273" s="312">
        <f>H262+H267+H268+H271+H272</f>
        <v>27421.878319999996</v>
      </c>
      <c r="I273" s="312">
        <f t="shared" si="17"/>
        <v>2331.6155199999998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925.07792999999992</v>
      </c>
      <c r="G294" s="82">
        <f>D294-F294</f>
        <v>-146.07792999999992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684.16675</f>
        <v>684.16674999999998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649.16309999999999</v>
      </c>
      <c r="G297" s="82">
        <f>D297-F297</f>
        <v>129.83690000000001</v>
      </c>
      <c r="H297" s="25">
        <f>SUM(H298:H299)</f>
        <v>986.35825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510.513</f>
        <v>510.51299999999998</v>
      </c>
      <c r="G298" s="94"/>
      <c r="H298" s="29">
        <f>763.96923</f>
        <v>763.96923000000004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138.6501</f>
        <v>138.65010000000001</v>
      </c>
      <c r="G299" s="105"/>
      <c r="H299" s="29">
        <f>222.38902</f>
        <v>222.38901999999999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36.793399999999998</v>
      </c>
      <c r="F300" s="34">
        <f>SUM(F301:F302)</f>
        <v>139.71705</v>
      </c>
      <c r="G300" s="82">
        <f>D300-F300</f>
        <v>640.28295000000003</v>
      </c>
      <c r="H300" s="34">
        <f>SUM(H301:H302)</f>
        <v>206.78366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27.8824</f>
        <v>27.882400000000001</v>
      </c>
      <c r="F301" s="29">
        <f>107.3034</f>
        <v>107.3034</v>
      </c>
      <c r="G301" s="94"/>
      <c r="H301" s="29">
        <f>141.5931</f>
        <v>141.59309999999999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8.911</f>
        <v>8.9109999999999996</v>
      </c>
      <c r="F302" s="29">
        <f>32.41365</f>
        <v>32.413649999999997</v>
      </c>
      <c r="G302" s="105"/>
      <c r="H302" s="29">
        <f>65.19056</f>
        <v>65.190560000000005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36.793399999999998</v>
      </c>
      <c r="F304" s="39">
        <f>F294+F297+F300+F303</f>
        <v>1713.9580799999999</v>
      </c>
      <c r="G304" s="40">
        <f>D304-F304</f>
        <v>624.04192000000012</v>
      </c>
      <c r="H304" s="39">
        <f>H294+H297+H300+H303</f>
        <v>2216.3477899999998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5" customHeight="1" x14ac:dyDescent="0.35">
      <c r="A322" s="223"/>
      <c r="B322" s="69"/>
      <c r="C322" s="236" t="s">
        <v>133</v>
      </c>
      <c r="D322" s="237">
        <v>238</v>
      </c>
      <c r="E322" s="29">
        <f>0.05825</f>
        <v>5.8250000000000003E-2</v>
      </c>
      <c r="F322" s="29">
        <f>56.96287</f>
        <v>56.962870000000002</v>
      </c>
      <c r="G322" s="238">
        <f>D322-F322</f>
        <v>181.03712999999999</v>
      </c>
      <c r="H322" s="29">
        <f>60.24114</f>
        <v>60.241140000000001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6.18768</f>
        <v>6.1876800000000003</v>
      </c>
      <c r="F323" s="29">
        <f>125.23315</f>
        <v>125.23314999999999</v>
      </c>
      <c r="G323" s="241">
        <f>D323-F323</f>
        <v>21111.76685</v>
      </c>
      <c r="H323" s="29">
        <f>155.07255</f>
        <v>155.07255000000001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6.2459300000000004</v>
      </c>
      <c r="F324" s="39">
        <f>F323+F322</f>
        <v>182.19602</v>
      </c>
      <c r="G324" s="39">
        <f>G323+G322</f>
        <v>21292.803980000001</v>
      </c>
      <c r="H324" s="39">
        <f>H323+H322</f>
        <v>215.31369000000001</v>
      </c>
      <c r="I324" s="26"/>
      <c r="J324" s="127"/>
    </row>
    <row r="325" spans="1:10" ht="22.5" customHeight="1" x14ac:dyDescent="0.3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12&amp;R23.03.2026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2026-03-23T14:06:40Z</dcterms:modified>
</cp:coreProperties>
</file>