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D10247FF-25BB-4590-9615-E24A91DD31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H119" i="1" s="1"/>
  <c r="G125" i="1"/>
  <c r="G121" i="1" s="1"/>
  <c r="G124" i="1"/>
  <c r="H345" i="1"/>
  <c r="F345" i="1"/>
  <c r="E345" i="1"/>
  <c r="D345" i="1"/>
  <c r="G344" i="1"/>
  <c r="G345" i="1" s="1"/>
  <c r="G343" i="1"/>
  <c r="E336" i="1"/>
  <c r="D324" i="1"/>
  <c r="H323" i="1"/>
  <c r="G323" i="1"/>
  <c r="F323" i="1"/>
  <c r="E323" i="1"/>
  <c r="E324" i="1" s="1"/>
  <c r="H322" i="1"/>
  <c r="H324" i="1" s="1"/>
  <c r="F322" i="1"/>
  <c r="F324" i="1" s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H300" i="1" s="1"/>
  <c r="F301" i="1"/>
  <c r="E301" i="1"/>
  <c r="E300" i="1" s="1"/>
  <c r="F300" i="1"/>
  <c r="G300" i="1" s="1"/>
  <c r="H299" i="1"/>
  <c r="F299" i="1"/>
  <c r="E299" i="1"/>
  <c r="H298" i="1"/>
  <c r="F298" i="1"/>
  <c r="E298" i="1"/>
  <c r="H297" i="1"/>
  <c r="F297" i="1"/>
  <c r="G297" i="1" s="1"/>
  <c r="E297" i="1"/>
  <c r="H296" i="1"/>
  <c r="F296" i="1"/>
  <c r="E296" i="1"/>
  <c r="H295" i="1"/>
  <c r="F295" i="1"/>
  <c r="F294" i="1" s="1"/>
  <c r="E295" i="1"/>
  <c r="H294" i="1"/>
  <c r="H304" i="1" s="1"/>
  <c r="E294" i="1"/>
  <c r="E304" i="1" s="1"/>
  <c r="E273" i="1"/>
  <c r="D273" i="1"/>
  <c r="I272" i="1"/>
  <c r="H272" i="1"/>
  <c r="G272" i="1"/>
  <c r="F272" i="1"/>
  <c r="I271" i="1"/>
  <c r="G271" i="1"/>
  <c r="H271" i="1" s="1"/>
  <c r="F271" i="1"/>
  <c r="I270" i="1"/>
  <c r="G270" i="1"/>
  <c r="G268" i="1" s="1"/>
  <c r="H268" i="1" s="1"/>
  <c r="F270" i="1"/>
  <c r="I269" i="1"/>
  <c r="G269" i="1"/>
  <c r="F269" i="1"/>
  <c r="I268" i="1"/>
  <c r="F268" i="1"/>
  <c r="I267" i="1"/>
  <c r="G267" i="1"/>
  <c r="H267" i="1" s="1"/>
  <c r="F267" i="1"/>
  <c r="I266" i="1"/>
  <c r="I262" i="1" s="1"/>
  <c r="I273" i="1" s="1"/>
  <c r="H266" i="1"/>
  <c r="G266" i="1"/>
  <c r="F266" i="1"/>
  <c r="I265" i="1"/>
  <c r="G265" i="1"/>
  <c r="G262" i="1" s="1"/>
  <c r="F265" i="1"/>
  <c r="I264" i="1"/>
  <c r="H264" i="1"/>
  <c r="G264" i="1"/>
  <c r="F264" i="1"/>
  <c r="I263" i="1"/>
  <c r="G263" i="1"/>
  <c r="H263" i="1" s="1"/>
  <c r="F263" i="1"/>
  <c r="F262" i="1"/>
  <c r="F273" i="1" s="1"/>
  <c r="E262" i="1"/>
  <c r="D262" i="1"/>
  <c r="H254" i="1"/>
  <c r="F254" i="1"/>
  <c r="H241" i="1"/>
  <c r="D241" i="1"/>
  <c r="H240" i="1"/>
  <c r="G240" i="1"/>
  <c r="F240" i="1"/>
  <c r="E240" i="1"/>
  <c r="H239" i="1"/>
  <c r="F239" i="1"/>
  <c r="G239" i="1" s="1"/>
  <c r="E239" i="1"/>
  <c r="H238" i="1"/>
  <c r="G238" i="1"/>
  <c r="F238" i="1"/>
  <c r="E238" i="1"/>
  <c r="E241" i="1" s="1"/>
  <c r="H237" i="1"/>
  <c r="F237" i="1"/>
  <c r="F241" i="1" s="1"/>
  <c r="G241" i="1" s="1"/>
  <c r="E237" i="1"/>
  <c r="D219" i="1"/>
  <c r="H218" i="1"/>
  <c r="G218" i="1"/>
  <c r="F218" i="1"/>
  <c r="E218" i="1"/>
  <c r="H217" i="1"/>
  <c r="F217" i="1"/>
  <c r="E217" i="1"/>
  <c r="H216" i="1"/>
  <c r="H215" i="1" s="1"/>
  <c r="H219" i="1" s="1"/>
  <c r="F216" i="1"/>
  <c r="E216" i="1"/>
  <c r="E215" i="1" s="1"/>
  <c r="E219" i="1" s="1"/>
  <c r="F215" i="1"/>
  <c r="F219" i="1" s="1"/>
  <c r="D206" i="1"/>
  <c r="H205" i="1"/>
  <c r="G205" i="1"/>
  <c r="F205" i="1"/>
  <c r="E205" i="1"/>
  <c r="H204" i="1"/>
  <c r="H202" i="1" s="1"/>
  <c r="H206" i="1" s="1"/>
  <c r="F204" i="1"/>
  <c r="E204" i="1"/>
  <c r="H203" i="1"/>
  <c r="F203" i="1"/>
  <c r="E203" i="1"/>
  <c r="E202" i="1" s="1"/>
  <c r="E206" i="1" s="1"/>
  <c r="G202" i="1"/>
  <c r="F202" i="1"/>
  <c r="F206" i="1" s="1"/>
  <c r="G206" i="1" s="1"/>
  <c r="E192" i="1"/>
  <c r="D192" i="1"/>
  <c r="I191" i="1"/>
  <c r="G191" i="1"/>
  <c r="H191" i="1" s="1"/>
  <c r="F191" i="1"/>
  <c r="I190" i="1"/>
  <c r="G190" i="1"/>
  <c r="H190" i="1" s="1"/>
  <c r="F190" i="1"/>
  <c r="F192" i="1" s="1"/>
  <c r="I189" i="1"/>
  <c r="I192" i="1" s="1"/>
  <c r="G189" i="1"/>
  <c r="H189" i="1" s="1"/>
  <c r="F189" i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E165" i="1"/>
  <c r="E163" i="1" s="1"/>
  <c r="E169" i="1" s="1"/>
  <c r="H164" i="1"/>
  <c r="H163" i="1" s="1"/>
  <c r="F164" i="1"/>
  <c r="F163" i="1" s="1"/>
  <c r="G163" i="1" s="1"/>
  <c r="E164" i="1"/>
  <c r="H162" i="1"/>
  <c r="G162" i="1"/>
  <c r="F162" i="1"/>
  <c r="E162" i="1"/>
  <c r="H161" i="1"/>
  <c r="F161" i="1"/>
  <c r="E161" i="1"/>
  <c r="H160" i="1"/>
  <c r="F160" i="1"/>
  <c r="E160" i="1"/>
  <c r="I135" i="1"/>
  <c r="H135" i="1"/>
  <c r="G135" i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G127" i="1"/>
  <c r="H127" i="1" s="1"/>
  <c r="H126" i="1" s="1"/>
  <c r="F127" i="1"/>
  <c r="F126" i="1" s="1"/>
  <c r="I126" i="1"/>
  <c r="E126" i="1"/>
  <c r="D126" i="1"/>
  <c r="D120" i="1" s="1"/>
  <c r="I125" i="1"/>
  <c r="H125" i="1"/>
  <c r="F125" i="1"/>
  <c r="I124" i="1"/>
  <c r="H124" i="1"/>
  <c r="F124" i="1"/>
  <c r="I123" i="1"/>
  <c r="H123" i="1"/>
  <c r="G123" i="1"/>
  <c r="F123" i="1"/>
  <c r="I122" i="1"/>
  <c r="G122" i="1"/>
  <c r="H122" i="1" s="1"/>
  <c r="F122" i="1"/>
  <c r="F121" i="1" s="1"/>
  <c r="F120" i="1" s="1"/>
  <c r="I121" i="1"/>
  <c r="I120" i="1" s="1"/>
  <c r="E121" i="1"/>
  <c r="D121" i="1"/>
  <c r="E120" i="1"/>
  <c r="I119" i="1"/>
  <c r="F119" i="1"/>
  <c r="I118" i="1"/>
  <c r="H118" i="1"/>
  <c r="G118" i="1"/>
  <c r="F118" i="1"/>
  <c r="I117" i="1"/>
  <c r="G117" i="1"/>
  <c r="H117" i="1" s="1"/>
  <c r="F117" i="1"/>
  <c r="I116" i="1"/>
  <c r="I115" i="1" s="1"/>
  <c r="H116" i="1"/>
  <c r="H115" i="1" s="1"/>
  <c r="G116" i="1"/>
  <c r="G115" i="1" s="1"/>
  <c r="F116" i="1"/>
  <c r="F115" i="1"/>
  <c r="E115" i="1"/>
  <c r="E137" i="1" s="1"/>
  <c r="D115" i="1"/>
  <c r="C113" i="1"/>
  <c r="I93" i="1"/>
  <c r="H93" i="1"/>
  <c r="G93" i="1"/>
  <c r="F93" i="1"/>
  <c r="I92" i="1"/>
  <c r="G92" i="1"/>
  <c r="H92" i="1" s="1"/>
  <c r="F92" i="1"/>
  <c r="I91" i="1"/>
  <c r="H91" i="1"/>
  <c r="G91" i="1"/>
  <c r="F91" i="1"/>
  <c r="I90" i="1"/>
  <c r="G90" i="1"/>
  <c r="H90" i="1" s="1"/>
  <c r="F90" i="1"/>
  <c r="I89" i="1"/>
  <c r="H89" i="1"/>
  <c r="G89" i="1"/>
  <c r="F89" i="1"/>
  <c r="I88" i="1"/>
  <c r="G88" i="1"/>
  <c r="H88" i="1" s="1"/>
  <c r="F88" i="1"/>
  <c r="I87" i="1"/>
  <c r="H87" i="1"/>
  <c r="G87" i="1"/>
  <c r="F87" i="1"/>
  <c r="I86" i="1"/>
  <c r="G86" i="1"/>
  <c r="H86" i="1" s="1"/>
  <c r="F86" i="1"/>
  <c r="I85" i="1"/>
  <c r="H85" i="1"/>
  <c r="G85" i="1"/>
  <c r="F85" i="1"/>
  <c r="I84" i="1"/>
  <c r="G84" i="1"/>
  <c r="G83" i="1" s="1"/>
  <c r="G82" i="1" s="1"/>
  <c r="F84" i="1"/>
  <c r="F83" i="1" s="1"/>
  <c r="F82" i="1" s="1"/>
  <c r="I83" i="1"/>
  <c r="I82" i="1" s="1"/>
  <c r="E83" i="1"/>
  <c r="E82" i="1" s="1"/>
  <c r="D83" i="1"/>
  <c r="D82" i="1"/>
  <c r="I81" i="1"/>
  <c r="G81" i="1"/>
  <c r="H81" i="1" s="1"/>
  <c r="H79" i="1" s="1"/>
  <c r="F81" i="1"/>
  <c r="I80" i="1"/>
  <c r="I79" i="1" s="1"/>
  <c r="I94" i="1" s="1"/>
  <c r="H80" i="1"/>
  <c r="G80" i="1"/>
  <c r="F80" i="1"/>
  <c r="G79" i="1"/>
  <c r="F79" i="1"/>
  <c r="E79" i="1"/>
  <c r="E94" i="1" s="1"/>
  <c r="D79" i="1"/>
  <c r="D94" i="1" s="1"/>
  <c r="C76" i="1"/>
  <c r="H72" i="1"/>
  <c r="F72" i="1"/>
  <c r="D72" i="1"/>
  <c r="H58" i="1"/>
  <c r="H57" i="1"/>
  <c r="I52" i="1"/>
  <c r="I31" i="1" s="1"/>
  <c r="H52" i="1"/>
  <c r="G52" i="1"/>
  <c r="F5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I33" i="1" s="1"/>
  <c r="G34" i="1"/>
  <c r="G33" i="1" s="1"/>
  <c r="G25" i="1" s="1"/>
  <c r="F34" i="1"/>
  <c r="F33" i="1" s="1"/>
  <c r="E33" i="1"/>
  <c r="D33" i="1"/>
  <c r="D25" i="1" s="1"/>
  <c r="I32" i="1"/>
  <c r="H32" i="1"/>
  <c r="G32" i="1"/>
  <c r="F32" i="1"/>
  <c r="G31" i="1"/>
  <c r="H31" i="1" s="1"/>
  <c r="F31" i="1"/>
  <c r="I30" i="1"/>
  <c r="H30" i="1"/>
  <c r="G30" i="1"/>
  <c r="F30" i="1"/>
  <c r="I29" i="1"/>
  <c r="G29" i="1"/>
  <c r="H29" i="1" s="1"/>
  <c r="F29" i="1"/>
  <c r="I28" i="1"/>
  <c r="H28" i="1"/>
  <c r="G28" i="1"/>
  <c r="F28" i="1"/>
  <c r="I27" i="1"/>
  <c r="G27" i="1"/>
  <c r="G26" i="1" s="1"/>
  <c r="F27" i="1"/>
  <c r="F26" i="1" s="1"/>
  <c r="E26" i="1"/>
  <c r="E25" i="1" s="1"/>
  <c r="D26" i="1"/>
  <c r="I24" i="1"/>
  <c r="G24" i="1"/>
  <c r="H24" i="1" s="1"/>
  <c r="H22" i="1" s="1"/>
  <c r="F24" i="1"/>
  <c r="F22" i="1" s="1"/>
  <c r="I23" i="1"/>
  <c r="I22" i="1" s="1"/>
  <c r="H23" i="1"/>
  <c r="G23" i="1"/>
  <c r="F23" i="1"/>
  <c r="G22" i="1"/>
  <c r="E22" i="1"/>
  <c r="D22" i="1"/>
  <c r="D42" i="1" s="1"/>
  <c r="H16" i="1"/>
  <c r="F16" i="1"/>
  <c r="D16" i="1"/>
  <c r="H121" i="1" l="1"/>
  <c r="H120" i="1" s="1"/>
  <c r="G219" i="1"/>
  <c r="H137" i="1"/>
  <c r="G273" i="1"/>
  <c r="H94" i="1"/>
  <c r="F94" i="1"/>
  <c r="G94" i="1"/>
  <c r="D137" i="1"/>
  <c r="E42" i="1"/>
  <c r="H33" i="1"/>
  <c r="H25" i="1" s="1"/>
  <c r="H42" i="1" s="1"/>
  <c r="F137" i="1"/>
  <c r="F169" i="1"/>
  <c r="F304" i="1"/>
  <c r="G294" i="1"/>
  <c r="G304" i="1"/>
  <c r="I137" i="1"/>
  <c r="F42" i="1"/>
  <c r="G42" i="1"/>
  <c r="I26" i="1"/>
  <c r="I25" i="1" s="1"/>
  <c r="I42" i="1" s="1"/>
  <c r="F25" i="1"/>
  <c r="H169" i="1"/>
  <c r="G169" i="1"/>
  <c r="H27" i="1"/>
  <c r="H26" i="1" s="1"/>
  <c r="H84" i="1"/>
  <c r="H83" i="1" s="1"/>
  <c r="H82" i="1" s="1"/>
  <c r="G192" i="1"/>
  <c r="H192" i="1" s="1"/>
  <c r="G215" i="1"/>
  <c r="H265" i="1"/>
  <c r="H262" i="1" s="1"/>
  <c r="H273" i="1" s="1"/>
  <c r="G126" i="1"/>
  <c r="G120" i="1" s="1"/>
  <c r="G137" i="1" s="1"/>
  <c r="H34" i="1"/>
  <c r="G160" i="1"/>
  <c r="G237" i="1"/>
  <c r="G322" i="1"/>
  <c r="G324" i="1" s="1"/>
</calcChain>
</file>

<file path=xl/sharedStrings.xml><?xml version="1.0" encoding="utf-8"?>
<sst xmlns="http://schemas.openxmlformats.org/spreadsheetml/2006/main" count="392" uniqueCount="166">
  <si>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</si>
  <si>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</si>
  <si>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</si>
  <si>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</si>
  <si>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</si>
  <si>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</si>
  <si>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</si>
  <si>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</si>
  <si>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</si>
  <si>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</si>
  <si>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</si>
  <si>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</si>
  <si>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</si>
  <si>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</si>
  <si>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</si>
  <si>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</si>
  <si>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</si>
  <si>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</si>
  <si>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</si>
  <si>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</si>
  <si>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</si>
  <si>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</si>
  <si>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</si>
  <si>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</si>
  <si>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</si>
  <si>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</si>
  <si>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</si>
  <si>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</si>
  <si>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</si>
  <si>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</si>
  <si>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</si>
  <si>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</si>
  <si>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</si>
  <si>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</si>
  <si>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</si>
  <si>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</si>
  <si>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</si>
  <si>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</si>
  <si>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</si>
  <si>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</si>
  <si>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</si>
  <si>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</si>
  <si>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</si>
  <si>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</si>
  <si>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</si>
  <si>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</si>
  <si>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</si>
  <si>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</si>
  <si>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</si>
  <si>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</si>
  <si>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</si>
  <si>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</si>
  <si>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</si>
  <si>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</si>
  <si>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</si>
  <si>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</si>
  <si>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</si>
  <si>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</si>
  <si>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</si>
  <si>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</si>
  <si>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</si>
  <si>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</si>
  <si>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</si>
  <si>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</si>
  <si>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</si>
  <si>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</si>
  <si>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</si>
  <si>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</si>
  <si>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</si>
  <si>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</si>
  <si>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</si>
  <si>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</si>
  <si>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</si>
  <si>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</si>
  <si>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</si>
  <si>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</si>
  <si>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</si>
  <si>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</si>
  <si>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</si>
  <si>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</si>
  <si>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</si>
  <si>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</si>
  <si>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</si>
  <si>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</si>
  <si>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</si>
  <si>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</si>
  <si>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</si>
  <si>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</si>
  <si>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</si>
  <si>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</si>
  <si>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</si>
  <si>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</si>
  <si>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</si>
  <si>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</si>
  <si>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</si>
  <si>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</si>
  <si>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</si>
  <si>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</si>
  <si>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</si>
  <si>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</si>
  <si>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</si>
  <si>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</si>
  <si>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</si>
  <si>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</si>
  <si>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</si>
  <si>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</si>
  <si>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</si>
  <si>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</si>
  <si>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</si>
  <si>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</si>
  <si>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</si>
  <si>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</si>
  <si>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</si>
  <si>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</si>
  <si>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</si>
  <si>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</si>
  <si>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</si>
  <si>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</si>
  <si>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</si>
  <si>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</si>
  <si>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</si>
  <si>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</si>
  <si>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</si>
  <si>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</si>
  <si>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</si>
  <si>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</si>
  <si>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</si>
  <si>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</si>
  <si>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</si>
  <si>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</si>
  <si>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</si>
  <si>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</si>
  <si>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</si>
  <si>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</si>
  <si>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</si>
  <si>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</si>
  <si>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</si>
  <si>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</si>
  <si>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</si>
  <si>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</si>
  <si>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</si>
  <si>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</si>
  <si>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</si>
  <si>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</si>
  <si>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</si>
  <si>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</si>
  <si>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</si>
  <si>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</si>
  <si>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</si>
  <si>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</si>
  <si>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</si>
  <si>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</si>
  <si>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</si>
  <si>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</si>
  <si>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</si>
  <si>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</si>
  <si>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</si>
  <si>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944 tonn er overført fra ubenyttet tredjelandskvoter til norsk totalkvote, hvorav 1 020 tonn til torsketrål, 308 til konvensjonelle havfiskefartøy, 554 tonn til lukket gruppe og 62 tonn til åpen gruppe </t>
    </r>
  </si>
  <si>
    <t>2 Registrert rekreasjonsfiske utgjør 36 tonn, men det legges til grunn at hele avsetningen tas</t>
  </si>
  <si>
    <t>4 Registrert rekreasjonsfiske utgjør 179 tonn, men det legges til grunn at hele avsetningen tas</t>
  </si>
  <si>
    <t>3 Registrert rekreasjonsfiske utgjør 625 tonn, men det legges til grunn at hele avsetningen tas</t>
  </si>
  <si>
    <t>FANGST UKE 21</t>
  </si>
  <si>
    <t>FANGST T.O.M UKE 21</t>
  </si>
  <si>
    <t>RESTKVOTER UKE 21</t>
  </si>
  <si>
    <t>FANGST T.O.M UKE 21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</si>
  <si>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395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</si>
</sst>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46" zoomScale="115" zoomScaleNormal="115" zoomScaleSheetLayoutView="100" zoomScalePageLayoutView="85" workbookViewId="0">
      <selection activeCell="H146" sqref="H146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31" t="s">
        <v>138</v>
      </c>
      <c r="C2" s="332"/>
      <c r="D2" s="332"/>
      <c r="E2" s="332"/>
      <c r="F2" s="332"/>
      <c r="G2" s="332"/>
      <c r="H2" s="332"/>
      <c r="I2" s="332"/>
      <c r="J2" s="333"/>
    </row>
    <row r="3" spans="1:10" ht="14.9" customHeight="1" x14ac:dyDescent="0.3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34"/>
      <c r="C9" s="335"/>
      <c r="D9" s="335"/>
      <c r="E9" s="335"/>
      <c r="F9" s="335"/>
      <c r="G9" s="335"/>
      <c r="H9" s="335"/>
      <c r="I9" s="335"/>
      <c r="J9" s="336"/>
    </row>
    <row r="10" spans="1:10" ht="12" customHeight="1" x14ac:dyDescent="0.3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8" t="s">
        <v>1</v>
      </c>
      <c r="D11" s="329"/>
      <c r="E11" s="328" t="s">
        <v>2</v>
      </c>
      <c r="F11" s="329"/>
      <c r="G11" s="328" t="s">
        <v>3</v>
      </c>
      <c r="H11" s="329"/>
      <c r="I11" s="173"/>
      <c r="J11" s="271"/>
    </row>
    <row r="12" spans="1:10" ht="14.15" customHeight="1" x14ac:dyDescent="0.3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3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3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3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5" customHeight="1" x14ac:dyDescent="0.3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35">
      <c r="A17" s="101"/>
      <c r="B17" s="24"/>
      <c r="C17" s="321"/>
      <c r="D17" s="321"/>
      <c r="E17" s="321"/>
      <c r="F17" s="321"/>
      <c r="G17" s="321"/>
      <c r="H17" s="321"/>
      <c r="I17" s="101"/>
      <c r="J17" s="157"/>
    </row>
    <row r="18" spans="1:10" ht="15" customHeight="1" x14ac:dyDescent="0.3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3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3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5" customHeight="1" x14ac:dyDescent="0.35">
      <c r="A22" s="1"/>
      <c r="B22" s="281"/>
      <c r="C22" s="15" t="s">
        <v>19</v>
      </c>
      <c r="D22" s="27">
        <f>D23+D24</f>
        <v>32535</v>
      </c>
      <c r="E22" s="27">
        <f>E23+E24</f>
        <v>33432</v>
      </c>
      <c r="F22" s="27">
        <f t="shared" ref="F22:I22" si="0">F24+F23</f>
        <v>322.61700000000002</v>
      </c>
      <c r="G22" s="27">
        <f t="shared" si="0"/>
        <v>13639.31064</v>
      </c>
      <c r="H22" s="10">
        <f>H24+H23</f>
        <v>19792.689359999997</v>
      </c>
      <c r="I22" s="10">
        <f t="shared" si="0"/>
        <v>18570.777389999999</v>
      </c>
      <c r="J22" s="271"/>
    </row>
    <row r="23" spans="1:10" ht="14.15" customHeight="1" x14ac:dyDescent="0.35">
      <c r="A23" s="1"/>
      <c r="B23" s="281"/>
      <c r="C23" s="43" t="s">
        <v>20</v>
      </c>
      <c r="D23" s="44">
        <v>31785</v>
      </c>
      <c r="E23" s="44">
        <v>32689</v>
      </c>
      <c r="F23" s="22">
        <f>322.617</f>
        <v>322.61700000000002</v>
      </c>
      <c r="G23" s="22">
        <f>13272.22314</f>
        <v>13272.22314</v>
      </c>
      <c r="H23" s="22">
        <f>E23-G23</f>
        <v>19416.776859999998</v>
      </c>
      <c r="I23" s="22">
        <f>18273.80139</f>
        <v>18273.801390000001</v>
      </c>
      <c r="J23" s="271"/>
    </row>
    <row r="24" spans="1:10" ht="14.15" customHeight="1" x14ac:dyDescent="0.35">
      <c r="A24" s="1"/>
      <c r="B24" s="281"/>
      <c r="C24" s="47" t="s">
        <v>21</v>
      </c>
      <c r="D24" s="218">
        <v>750</v>
      </c>
      <c r="E24" s="218">
        <v>743</v>
      </c>
      <c r="F24" s="165">
        <f>0</f>
        <v>0</v>
      </c>
      <c r="G24" s="22">
        <f>367.0875</f>
        <v>367.08749999999998</v>
      </c>
      <c r="H24" s="22">
        <f>E24-G24</f>
        <v>375.91250000000002</v>
      </c>
      <c r="I24" s="22">
        <f>296.976</f>
        <v>296.976</v>
      </c>
      <c r="J24" s="271"/>
    </row>
    <row r="25" spans="1:10" ht="14.15" customHeight="1" x14ac:dyDescent="0.35">
      <c r="A25" s="1"/>
      <c r="B25" s="281"/>
      <c r="C25" s="15" t="s">
        <v>22</v>
      </c>
      <c r="D25" s="27">
        <f>D26+D32+D33</f>
        <v>95462</v>
      </c>
      <c r="E25" s="27">
        <f>E26+E32+E33</f>
        <v>98042</v>
      </c>
      <c r="F25" s="27">
        <f t="shared" ref="F25:I25" si="1">F33+F32+F26</f>
        <v>624.89455999999996</v>
      </c>
      <c r="G25" s="10">
        <f t="shared" si="1"/>
        <v>77733.5388199999</v>
      </c>
      <c r="H25" s="10">
        <f>H33+H32+H26</f>
        <v>20308.4611800001</v>
      </c>
      <c r="I25" s="10">
        <f t="shared" si="1"/>
        <v>93989.685830000002</v>
      </c>
      <c r="J25" s="271"/>
    </row>
    <row r="26" spans="1:10" ht="15" customHeight="1" x14ac:dyDescent="0.35">
      <c r="A26" s="49"/>
      <c r="B26" s="51"/>
      <c r="C26" s="54" t="s">
        <v>23</v>
      </c>
      <c r="D26" s="55">
        <f>D27+D28+D29+D30+D31</f>
        <v>75488</v>
      </c>
      <c r="E26" s="55">
        <f>E27+E28+E29+E30+E31</f>
        <v>77858</v>
      </c>
      <c r="F26" s="129">
        <f>F27+F28+F29+F30+F31</f>
        <v>374.55403999999999</v>
      </c>
      <c r="G26" s="129">
        <f>G27+G28+G29+G30+G31</f>
        <v>63868.91332</v>
      </c>
      <c r="H26" s="129">
        <f>H27+H28+H29+H30+H31</f>
        <v>13989.08668</v>
      </c>
      <c r="I26" s="129">
        <f t="shared" ref="I26" si="2">I27+I28+I29+I30+I31</f>
        <v>76841.449070000002</v>
      </c>
      <c r="J26" s="271"/>
    </row>
    <row r="27" spans="1:10" ht="14.15" customHeight="1" x14ac:dyDescent="0.35">
      <c r="A27" s="192"/>
      <c r="B27" s="176"/>
      <c r="C27" s="60" t="s">
        <v>24</v>
      </c>
      <c r="D27" s="61">
        <v>19164</v>
      </c>
      <c r="E27" s="61">
        <v>20868</v>
      </c>
      <c r="F27" s="209">
        <f>117.89655 - F53</f>
        <v>117.89655</v>
      </c>
      <c r="G27" s="123">
        <f>18926.62848 - G53</f>
        <v>18926.628479999999</v>
      </c>
      <c r="H27" s="123">
        <f t="shared" ref="H27:H41" si="3">E27-G27</f>
        <v>1941.3715200000006</v>
      </c>
      <c r="I27" s="123">
        <f>21858.39638 - I53</f>
        <v>21858.396379999998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19036</v>
      </c>
      <c r="E28" s="61">
        <v>19720</v>
      </c>
      <c r="F28" s="123">
        <f>64.91827 - F54</f>
        <v>64.918270000000007</v>
      </c>
      <c r="G28" s="123">
        <f>18230.00172 - G54</f>
        <v>18230.00172</v>
      </c>
      <c r="H28" s="123">
        <f t="shared" si="3"/>
        <v>1489.9982799999998</v>
      </c>
      <c r="I28" s="123">
        <f>21427.75369 - I54</f>
        <v>21427.753690000001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17407</v>
      </c>
      <c r="E29" s="61">
        <v>17625</v>
      </c>
      <c r="F29" s="123">
        <f>77.74484 - F55</f>
        <v>77.744839999999996</v>
      </c>
      <c r="G29" s="123">
        <f>15179.25123 - G55</f>
        <v>15179.25123</v>
      </c>
      <c r="H29" s="123">
        <f t="shared" si="3"/>
        <v>2445.7487700000001</v>
      </c>
      <c r="I29" s="123">
        <f>19928.59841 - I55</f>
        <v>19928.598409999999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12796</v>
      </c>
      <c r="E30" s="61">
        <v>12954</v>
      </c>
      <c r="F30" s="123">
        <f>113.99438 - F56</f>
        <v>113.99438000000001</v>
      </c>
      <c r="G30" s="123">
        <f>11533.03189 - G56</f>
        <v>11533.03189</v>
      </c>
      <c r="H30" s="123">
        <f t="shared" si="3"/>
        <v>1420.9681099999998</v>
      </c>
      <c r="I30" s="123">
        <f>13626.70059 - I56</f>
        <v>13626.70059</v>
      </c>
      <c r="J30" s="63"/>
    </row>
    <row r="31" spans="1:10" ht="14.15" customHeight="1" x14ac:dyDescent="0.35">
      <c r="A31" s="192"/>
      <c r="B31" s="176"/>
      <c r="C31" s="60" t="s">
        <v>136</v>
      </c>
      <c r="D31" s="61">
        <v>7085</v>
      </c>
      <c r="E31" s="61">
        <v>6691</v>
      </c>
      <c r="F31" s="123">
        <f>F52</f>
        <v>0</v>
      </c>
      <c r="G31" s="123">
        <f>G52</f>
        <v>0</v>
      </c>
      <c r="H31" s="123">
        <f t="shared" si="3"/>
        <v>6691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10717</v>
      </c>
      <c r="E32" s="55">
        <v>10907</v>
      </c>
      <c r="F32" s="129">
        <f>149.05616</f>
        <v>149.05616000000001</v>
      </c>
      <c r="G32" s="129">
        <f>4525.15965</f>
        <v>4525.1596499999996</v>
      </c>
      <c r="H32" s="129">
        <f t="shared" si="3"/>
        <v>6381.8403500000004</v>
      </c>
      <c r="I32" s="129">
        <f>6719.42732</f>
        <v>6719.4273199999998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9257</v>
      </c>
      <c r="E33" s="55">
        <f>E34+E35</f>
        <v>9277</v>
      </c>
      <c r="F33" s="129">
        <f>F34+F35</f>
        <v>101.28435999999999</v>
      </c>
      <c r="G33" s="129">
        <f>G34+G35</f>
        <v>9339.4658499999005</v>
      </c>
      <c r="H33" s="129">
        <f t="shared" si="3"/>
        <v>-62.465849999900456</v>
      </c>
      <c r="I33" s="129">
        <f>I34+I35</f>
        <v>10428.809440000001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8392</v>
      </c>
      <c r="E34" s="61">
        <v>8412</v>
      </c>
      <c r="F34" s="123">
        <f>176.28436 - F57 - F58</f>
        <v>101.28435999999999</v>
      </c>
      <c r="G34" s="129">
        <f>11769.4658499999 - G57 - G58</f>
        <v>9339.4658499999005</v>
      </c>
      <c r="H34" s="123">
        <f t="shared" si="3"/>
        <v>-927.46584999990046</v>
      </c>
      <c r="I34" s="123">
        <f>12112.80944 - I57 - I58</f>
        <v>10428.809440000001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865</v>
      </c>
      <c r="E35" s="220">
        <v>865</v>
      </c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35">
      <c r="A36" s="1"/>
      <c r="B36" s="281"/>
      <c r="C36" s="70" t="s">
        <v>32</v>
      </c>
      <c r="D36" s="140">
        <v>500</v>
      </c>
      <c r="E36" s="140">
        <v>500</v>
      </c>
      <c r="F36" s="136">
        <f>0</f>
        <v>0</v>
      </c>
      <c r="G36" s="136">
        <f>476.8124</f>
        <v>476.81240000000003</v>
      </c>
      <c r="H36" s="136">
        <f t="shared" si="3"/>
        <v>23.187599999999975</v>
      </c>
      <c r="I36" s="136">
        <f>270.3376</f>
        <v>270.33760000000001</v>
      </c>
      <c r="J36" s="271"/>
    </row>
    <row r="37" spans="1:10" ht="14.15" customHeight="1" x14ac:dyDescent="0.35">
      <c r="A37" s="1"/>
      <c r="B37" s="281"/>
      <c r="C37" s="70" t="s">
        <v>33</v>
      </c>
      <c r="D37" s="140">
        <v>880</v>
      </c>
      <c r="E37" s="140">
        <v>880</v>
      </c>
      <c r="F37" s="95">
        <f>4.1445</f>
        <v>4.1444999999999999</v>
      </c>
      <c r="G37" s="95">
        <f>529.8976</f>
        <v>529.89760000000001</v>
      </c>
      <c r="H37" s="95">
        <f t="shared" si="3"/>
        <v>350.10239999999999</v>
      </c>
      <c r="I37" s="95">
        <f>541.51117</f>
        <v>541.51116999999999</v>
      </c>
      <c r="J37" s="271"/>
    </row>
    <row r="38" spans="1:10" ht="17.25" customHeight="1" x14ac:dyDescent="0.35">
      <c r="A38" s="1"/>
      <c r="B38" s="281"/>
      <c r="C38" s="70" t="s">
        <v>34</v>
      </c>
      <c r="D38" s="140">
        <v>3000</v>
      </c>
      <c r="E38" s="140">
        <v>3000</v>
      </c>
      <c r="F38" s="95">
        <f>F58</f>
        <v>75</v>
      </c>
      <c r="G38" s="95">
        <f>G58</f>
        <v>2430</v>
      </c>
      <c r="H38" s="95">
        <f t="shared" si="3"/>
        <v>570</v>
      </c>
      <c r="I38" s="95">
        <f>I58</f>
        <v>1684</v>
      </c>
      <c r="J38" s="271"/>
    </row>
    <row r="39" spans="1:10" ht="17.25" customHeight="1" x14ac:dyDescent="0.35">
      <c r="A39" s="1"/>
      <c r="B39" s="281"/>
      <c r="C39" s="70" t="s">
        <v>35</v>
      </c>
      <c r="D39" s="140">
        <v>7000</v>
      </c>
      <c r="E39" s="140">
        <v>7000</v>
      </c>
      <c r="F39" s="95">
        <f>7.77137</f>
        <v>7.7713700000000001</v>
      </c>
      <c r="G39" s="95">
        <f>E39</f>
        <v>7000</v>
      </c>
      <c r="H39" s="95">
        <f t="shared" si="3"/>
        <v>0</v>
      </c>
      <c r="I39" s="95">
        <f>E39</f>
        <v>7000</v>
      </c>
      <c r="J39" s="271"/>
    </row>
    <row r="40" spans="1:10" ht="17.25" customHeight="1" x14ac:dyDescent="0.35">
      <c r="A40" s="1"/>
      <c r="B40" s="281"/>
      <c r="C40" s="70" t="s">
        <v>37</v>
      </c>
      <c r="D40" s="140">
        <v>450</v>
      </c>
      <c r="E40" s="140">
        <v>450</v>
      </c>
      <c r="F40" s="95">
        <f>2.559</f>
        <v>2.5590000000000002</v>
      </c>
      <c r="G40" s="95">
        <f>388.12019</f>
        <v>388.12018999999998</v>
      </c>
      <c r="H40" s="95">
        <f t="shared" si="3"/>
        <v>61.87981000000002</v>
      </c>
      <c r="I40" s="95">
        <f>358.9216</f>
        <v>358.92160000000001</v>
      </c>
      <c r="J40" s="271"/>
    </row>
    <row r="41" spans="1:10" ht="14.15" customHeight="1" x14ac:dyDescent="0.35">
      <c r="A41" s="1"/>
      <c r="B41" s="281"/>
      <c r="C41" s="70" t="s">
        <v>38</v>
      </c>
      <c r="D41" s="140"/>
      <c r="E41" s="136"/>
      <c r="F41" s="136">
        <f>0</f>
        <v>0</v>
      </c>
      <c r="G41" s="136">
        <f>41.38355</f>
        <v>41.38355</v>
      </c>
      <c r="H41" s="136">
        <f t="shared" si="3"/>
        <v>-41.38355</v>
      </c>
      <c r="I41" s="136">
        <f>59.41368</f>
        <v>59.413679999999999</v>
      </c>
      <c r="J41" s="271"/>
    </row>
    <row r="42" spans="1:10" ht="16.5" customHeight="1" x14ac:dyDescent="0.3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143304</v>
      </c>
      <c r="F42" s="73">
        <f t="shared" ref="F42:I42" si="4">F22+F25+F36+F37+F38+F39+F40+F41</f>
        <v>1036.9864299999997</v>
      </c>
      <c r="G42" s="73">
        <f t="shared" si="4"/>
        <v>102239.06319999989</v>
      </c>
      <c r="H42" s="73">
        <f>H22+H25+H36+H37+H38+H39+H40+H41</f>
        <v>41064.936800000098</v>
      </c>
      <c r="I42" s="73">
        <f t="shared" si="4"/>
        <v>122474.64727</v>
      </c>
      <c r="J42" s="271"/>
    </row>
    <row r="43" spans="1:10" ht="14.15" customHeight="1" x14ac:dyDescent="0.35">
      <c r="A43" s="101"/>
      <c r="B43" s="24"/>
      <c r="C43" s="74" t="s">
        <v>139</v>
      </c>
      <c r="D43" s="216"/>
      <c r="E43" s="216"/>
      <c r="F43" s="76"/>
      <c r="G43" s="76"/>
      <c r="H43" s="255"/>
      <c r="I43" s="255"/>
      <c r="J43" s="77"/>
    </row>
    <row r="44" spans="1:10" ht="14.15" customHeight="1" x14ac:dyDescent="0.35">
      <c r="A44" s="101"/>
      <c r="B44" s="24"/>
      <c r="C44" s="78" t="s">
        <v>135</v>
      </c>
      <c r="D44" s="216"/>
      <c r="E44" s="216"/>
      <c r="F44" s="216"/>
      <c r="G44" s="76"/>
      <c r="H44" s="173"/>
      <c r="I44" s="173"/>
      <c r="J44" s="271"/>
    </row>
    <row r="45" spans="1:10" ht="14.15" customHeight="1" x14ac:dyDescent="0.3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140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35">
      <c r="A49" s="101"/>
      <c r="B49" s="24"/>
      <c r="C49" s="324" t="s">
        <v>137</v>
      </c>
      <c r="D49" s="324"/>
      <c r="E49" s="324"/>
      <c r="F49" s="324"/>
      <c r="G49" s="324"/>
      <c r="H49" s="324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5" customHeight="1" x14ac:dyDescent="0.35">
      <c r="A52" s="101"/>
      <c r="B52" s="24"/>
      <c r="C52" s="15" t="s">
        <v>42</v>
      </c>
      <c r="D52" s="325">
        <v>7085</v>
      </c>
      <c r="E52" s="325">
        <v>6691</v>
      </c>
      <c r="F52" s="10">
        <f>F56+F55+F54+F53</f>
        <v>0</v>
      </c>
      <c r="G52" s="10">
        <f>G56+G55+G54+G53</f>
        <v>0</v>
      </c>
      <c r="H52" s="325">
        <f>E52-G52</f>
        <v>6691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26"/>
      <c r="E53" s="326"/>
      <c r="F53" s="123"/>
      <c r="G53" s="123"/>
      <c r="H53" s="326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26"/>
      <c r="E54" s="326"/>
      <c r="F54" s="123"/>
      <c r="G54" s="123"/>
      <c r="H54" s="326"/>
      <c r="I54" s="123"/>
      <c r="J54" s="271"/>
    </row>
    <row r="55" spans="1:10" ht="14.15" customHeight="1" x14ac:dyDescent="0.35">
      <c r="A55" s="101"/>
      <c r="B55" s="24"/>
      <c r="C55" s="60" t="s">
        <v>26</v>
      </c>
      <c r="D55" s="326"/>
      <c r="E55" s="326"/>
      <c r="F55" s="123"/>
      <c r="G55" s="123"/>
      <c r="H55" s="326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27"/>
      <c r="E56" s="327"/>
      <c r="F56" s="186"/>
      <c r="G56" s="186"/>
      <c r="H56" s="327"/>
      <c r="I56" s="186"/>
      <c r="J56" s="117"/>
    </row>
    <row r="57" spans="1:10" ht="14.15" customHeight="1" x14ac:dyDescent="0.35">
      <c r="A57" s="101"/>
      <c r="B57" s="24"/>
      <c r="C57" s="85" t="s">
        <v>43</v>
      </c>
      <c r="D57" s="92">
        <v>865</v>
      </c>
      <c r="E57" s="92">
        <v>865</v>
      </c>
      <c r="F57" s="92"/>
      <c r="G57" s="92"/>
      <c r="H57" s="92">
        <f>E57-G57</f>
        <v>865</v>
      </c>
      <c r="I57" s="92"/>
      <c r="J57" s="271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>
        <v>3000</v>
      </c>
      <c r="F58" s="136">
        <v>75</v>
      </c>
      <c r="G58" s="136">
        <v>2430</v>
      </c>
      <c r="H58" s="136">
        <f>E58-G58</f>
        <v>570</v>
      </c>
      <c r="I58" s="136">
        <v>1684</v>
      </c>
      <c r="J58" s="117"/>
    </row>
    <row r="59" spans="1:10" ht="14.15" customHeight="1" x14ac:dyDescent="0.35">
      <c r="A59" s="101"/>
      <c r="B59" s="24"/>
      <c r="C59" s="74" t="s">
        <v>141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8" t="s">
        <v>1</v>
      </c>
      <c r="D68" s="329"/>
      <c r="E68" s="328" t="s">
        <v>2</v>
      </c>
      <c r="F68" s="330"/>
      <c r="G68" s="328" t="s">
        <v>3</v>
      </c>
      <c r="H68" s="329"/>
      <c r="I68" s="173"/>
      <c r="J68" s="271"/>
    </row>
    <row r="69" spans="1:10" ht="15" customHeight="1" x14ac:dyDescent="0.35">
      <c r="B69" s="281"/>
      <c r="C69" s="110" t="s">
        <v>79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3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5" customHeight="1" x14ac:dyDescent="0.3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3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35">
      <c r="A73" s="1"/>
      <c r="B73" s="281"/>
      <c r="C73" s="101" t="s">
        <v>157</v>
      </c>
      <c r="D73" s="244"/>
      <c r="E73" s="244"/>
      <c r="F73" s="244"/>
      <c r="G73" s="244"/>
      <c r="H73" s="244"/>
      <c r="I73" s="263"/>
      <c r="J73" s="117"/>
    </row>
    <row r="74" spans="1:10" ht="6" customHeight="1" x14ac:dyDescent="0.3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5" customHeight="1" x14ac:dyDescent="0.3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3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3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35">
      <c r="A79" s="1"/>
      <c r="B79" s="281"/>
      <c r="C79" s="31" t="s">
        <v>19</v>
      </c>
      <c r="D79" s="27">
        <f>D80+D81</f>
        <v>28395</v>
      </c>
      <c r="E79" s="27">
        <f>E81+E80</f>
        <v>29899</v>
      </c>
      <c r="F79" s="10">
        <f t="shared" ref="F79:I79" si="5">F81+F80</f>
        <v>609.68460000000005</v>
      </c>
      <c r="G79" s="10">
        <f t="shared" si="5"/>
        <v>21401.076430000001</v>
      </c>
      <c r="H79" s="10">
        <f>H81+H80</f>
        <v>8497.923569999999</v>
      </c>
      <c r="I79" s="10">
        <f t="shared" si="5"/>
        <v>18800.51815</v>
      </c>
      <c r="J79" s="271"/>
    </row>
    <row r="80" spans="1:10" ht="15" customHeight="1" x14ac:dyDescent="0.35">
      <c r="A80" s="1"/>
      <c r="B80" s="281"/>
      <c r="C80" s="43" t="s">
        <v>20</v>
      </c>
      <c r="D80" s="44">
        <v>27645</v>
      </c>
      <c r="E80" s="44">
        <v>29143</v>
      </c>
      <c r="F80" s="22">
        <f>609.6846</f>
        <v>609.68460000000005</v>
      </c>
      <c r="G80" s="22">
        <f>20897.7821</f>
        <v>20897.7821</v>
      </c>
      <c r="H80" s="22">
        <f>E80-G80</f>
        <v>8245.2178999999996</v>
      </c>
      <c r="I80" s="22">
        <f>18390.41475</f>
        <v>18390.41475</v>
      </c>
      <c r="J80" s="271"/>
    </row>
    <row r="81" spans="1:10" ht="14.15" customHeight="1" x14ac:dyDescent="0.35">
      <c r="A81" s="1"/>
      <c r="B81" s="281"/>
      <c r="C81" s="62" t="s">
        <v>21</v>
      </c>
      <c r="D81" s="218">
        <v>750</v>
      </c>
      <c r="E81" s="218">
        <v>756</v>
      </c>
      <c r="F81" s="48">
        <f>0</f>
        <v>0</v>
      </c>
      <c r="G81" s="48">
        <f>503.29433</f>
        <v>503.29433</v>
      </c>
      <c r="H81" s="48">
        <f>E81-G81</f>
        <v>252.70567</v>
      </c>
      <c r="I81" s="48">
        <f>410.1034</f>
        <v>410.10340000000002</v>
      </c>
      <c r="J81" s="271"/>
    </row>
    <row r="82" spans="1:10" ht="15.75" customHeight="1" x14ac:dyDescent="0.35">
      <c r="A82" s="1"/>
      <c r="B82" s="50"/>
      <c r="C82" s="15" t="s">
        <v>22</v>
      </c>
      <c r="D82" s="27">
        <f>D83+D88+D89</f>
        <v>47281</v>
      </c>
      <c r="E82" s="27">
        <f>E83+E88+E89</f>
        <v>51672</v>
      </c>
      <c r="F82" s="10">
        <f t="shared" ref="F82:I82" si="6">F83+F88+F89</f>
        <v>1022.22299</v>
      </c>
      <c r="G82" s="10">
        <f t="shared" si="6"/>
        <v>19139.408189999969</v>
      </c>
      <c r="H82" s="10">
        <f>H83+H88+H89</f>
        <v>32532.591810000027</v>
      </c>
      <c r="I82" s="10">
        <f t="shared" si="6"/>
        <v>21158.732509999973</v>
      </c>
      <c r="J82" s="271"/>
    </row>
    <row r="83" spans="1:10" ht="14.15" customHeight="1" x14ac:dyDescent="0.35">
      <c r="A83" s="1"/>
      <c r="B83" s="51"/>
      <c r="C83" s="54" t="s">
        <v>23</v>
      </c>
      <c r="D83" s="55">
        <f>D84+D85+D86+D87</f>
        <v>35236</v>
      </c>
      <c r="E83" s="55">
        <f>E87+E86+E85+E84</f>
        <v>38016</v>
      </c>
      <c r="F83" s="129">
        <f t="shared" ref="F83:I83" si="7">F84+F85+F86+F87</f>
        <v>809.55498999999998</v>
      </c>
      <c r="G83" s="129">
        <f t="shared" si="7"/>
        <v>14640.667429999969</v>
      </c>
      <c r="H83" s="129">
        <f>H84+H85+H86+H87</f>
        <v>23375.332570000028</v>
      </c>
      <c r="I83" s="129">
        <f t="shared" si="7"/>
        <v>17058.220799999952</v>
      </c>
      <c r="J83" s="271"/>
    </row>
    <row r="84" spans="1:10" ht="14.15" customHeight="1" x14ac:dyDescent="0.35">
      <c r="A84" s="192"/>
      <c r="B84" s="176"/>
      <c r="C84" s="60" t="s">
        <v>24</v>
      </c>
      <c r="D84" s="61">
        <v>9425</v>
      </c>
      <c r="E84" s="61">
        <v>10530</v>
      </c>
      <c r="F84" s="123">
        <f>82.15639</f>
        <v>82.156390000000002</v>
      </c>
      <c r="G84" s="123">
        <f>2489.25307999998</f>
        <v>2489.2530799999799</v>
      </c>
      <c r="H84" s="123">
        <f t="shared" ref="H84:H93" si="8">E84-G84</f>
        <v>8040.7469200000196</v>
      </c>
      <c r="I84" s="123">
        <f>2575.60760999997</f>
        <v>2575.60760999997</v>
      </c>
      <c r="J84" s="271"/>
    </row>
    <row r="85" spans="1:10" ht="14.15" customHeight="1" x14ac:dyDescent="0.35">
      <c r="A85" s="192"/>
      <c r="B85" s="176"/>
      <c r="C85" s="60" t="s">
        <v>48</v>
      </c>
      <c r="D85" s="61">
        <v>9801</v>
      </c>
      <c r="E85" s="61">
        <v>10962</v>
      </c>
      <c r="F85" s="123">
        <f>309.21423</f>
        <v>309.21422999999999</v>
      </c>
      <c r="G85" s="123">
        <f>5263.78039999999</f>
        <v>5263.7803999999896</v>
      </c>
      <c r="H85" s="123">
        <f t="shared" si="8"/>
        <v>5698.2196000000104</v>
      </c>
      <c r="I85" s="123">
        <f>4499.52136999998</f>
        <v>4499.5213699999804</v>
      </c>
      <c r="J85" s="271"/>
    </row>
    <row r="86" spans="1:10" ht="14.15" customHeight="1" x14ac:dyDescent="0.35">
      <c r="A86" s="192"/>
      <c r="B86" s="176"/>
      <c r="C86" s="60" t="s">
        <v>49</v>
      </c>
      <c r="D86" s="61">
        <v>9599</v>
      </c>
      <c r="E86" s="61">
        <v>9908</v>
      </c>
      <c r="F86" s="123">
        <f>138.82927</f>
        <v>138.82927000000001</v>
      </c>
      <c r="G86" s="123">
        <f>4182.70328</f>
        <v>4182.7032799999997</v>
      </c>
      <c r="H86" s="123">
        <f t="shared" si="8"/>
        <v>5725.2967200000003</v>
      </c>
      <c r="I86" s="123">
        <f>5733.11183</f>
        <v>5733.1118299999998</v>
      </c>
      <c r="J86" s="271"/>
    </row>
    <row r="87" spans="1:10" ht="14.15" customHeight="1" x14ac:dyDescent="0.35">
      <c r="A87" s="192"/>
      <c r="B87" s="176"/>
      <c r="C87" s="60" t="s">
        <v>27</v>
      </c>
      <c r="D87" s="61">
        <v>6411</v>
      </c>
      <c r="E87" s="61">
        <v>6616</v>
      </c>
      <c r="F87" s="123">
        <f>279.3551</f>
        <v>279.35509999999999</v>
      </c>
      <c r="G87" s="123">
        <f>2704.93067</f>
        <v>2704.9306700000002</v>
      </c>
      <c r="H87" s="123">
        <f t="shared" si="8"/>
        <v>3911.0693299999998</v>
      </c>
      <c r="I87" s="123">
        <f>4249.97999</f>
        <v>4249.9799899999998</v>
      </c>
      <c r="J87" s="271"/>
    </row>
    <row r="88" spans="1:10" ht="14.15" customHeight="1" x14ac:dyDescent="0.35">
      <c r="A88" s="192"/>
      <c r="B88" s="176"/>
      <c r="C88" s="54" t="s">
        <v>50</v>
      </c>
      <c r="D88" s="55">
        <v>8339</v>
      </c>
      <c r="E88" s="55">
        <v>9513</v>
      </c>
      <c r="F88" s="129">
        <f>179.52557</f>
        <v>179.52556999999999</v>
      </c>
      <c r="G88" s="129">
        <f>3245.48714</f>
        <v>3245.4871400000002</v>
      </c>
      <c r="H88" s="129">
        <f t="shared" si="8"/>
        <v>6267.5128599999998</v>
      </c>
      <c r="I88" s="129">
        <f>3041.07284</f>
        <v>3041.0728399999998</v>
      </c>
      <c r="J88" s="271"/>
    </row>
    <row r="89" spans="1:10" ht="15.75" customHeight="1" x14ac:dyDescent="0.35">
      <c r="A89" s="1"/>
      <c r="B89" s="51"/>
      <c r="C89" s="37" t="s">
        <v>11</v>
      </c>
      <c r="D89" s="59">
        <v>3706</v>
      </c>
      <c r="E89" s="59">
        <v>4143</v>
      </c>
      <c r="F89" s="72">
        <f>33.14243</f>
        <v>33.142429999999997</v>
      </c>
      <c r="G89" s="72">
        <f>1253.25362</f>
        <v>1253.25362</v>
      </c>
      <c r="H89" s="72">
        <f t="shared" si="8"/>
        <v>2889.74638</v>
      </c>
      <c r="I89" s="72">
        <f>1059.43887000002</f>
        <v>1059.43887000002</v>
      </c>
      <c r="J89" s="271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0</f>
        <v>0</v>
      </c>
      <c r="G90" s="95">
        <f>11.61987</f>
        <v>11.619870000000001</v>
      </c>
      <c r="H90" s="95">
        <f t="shared" si="8"/>
        <v>307.38013000000001</v>
      </c>
      <c r="I90" s="95">
        <f>27.15663</f>
        <v>27.15663</v>
      </c>
      <c r="J90" s="271"/>
    </row>
    <row r="91" spans="1:10" ht="18" customHeight="1" x14ac:dyDescent="0.35">
      <c r="A91" s="1"/>
      <c r="B91" s="281"/>
      <c r="C91" s="70" t="s">
        <v>51</v>
      </c>
      <c r="D91" s="140">
        <v>300</v>
      </c>
      <c r="E91" s="140">
        <v>300</v>
      </c>
      <c r="F91" s="136">
        <f>0.15053</f>
        <v>0.15053</v>
      </c>
      <c r="G91" s="136">
        <f>E91</f>
        <v>300</v>
      </c>
      <c r="H91" s="136">
        <f t="shared" si="8"/>
        <v>0</v>
      </c>
      <c r="I91" s="136">
        <f>E91</f>
        <v>300</v>
      </c>
      <c r="J91" s="271"/>
    </row>
    <row r="92" spans="1:10" ht="16.5" customHeight="1" x14ac:dyDescent="0.35">
      <c r="A92" s="1"/>
      <c r="B92" s="281"/>
      <c r="C92" s="89" t="s">
        <v>37</v>
      </c>
      <c r="D92" s="140">
        <v>50</v>
      </c>
      <c r="E92" s="140">
        <v>50</v>
      </c>
      <c r="F92" s="95">
        <f>0.03708</f>
        <v>3.7080000000000002E-2</v>
      </c>
      <c r="G92" s="95">
        <f>3.50632</f>
        <v>3.5063200000000001</v>
      </c>
      <c r="H92" s="136">
        <f t="shared" si="8"/>
        <v>46.493679999999998</v>
      </c>
      <c r="I92" s="95">
        <f>11.87496</f>
        <v>11.87496</v>
      </c>
      <c r="J92" s="271"/>
    </row>
    <row r="93" spans="1:10" ht="18" customHeight="1" x14ac:dyDescent="0.35">
      <c r="A93" s="1"/>
      <c r="B93" s="281"/>
      <c r="C93" s="89" t="s">
        <v>52</v>
      </c>
      <c r="D93" s="140"/>
      <c r="E93" s="136"/>
      <c r="F93" s="136">
        <f>0.0427</f>
        <v>4.2700000000000002E-2</v>
      </c>
      <c r="G93" s="136">
        <f>8.6542</f>
        <v>8.6541999999999994</v>
      </c>
      <c r="H93" s="136">
        <f t="shared" si="8"/>
        <v>-8.6541999999999994</v>
      </c>
      <c r="I93" s="136">
        <f>5.3629</f>
        <v>5.3628999999999998</v>
      </c>
      <c r="J93" s="271"/>
    </row>
    <row r="94" spans="1:10" ht="16.5" customHeight="1" x14ac:dyDescent="0.3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82240</v>
      </c>
      <c r="F94" s="73">
        <f t="shared" ref="F94:I94" si="10">F79+F82+F90+F91+F92+F93</f>
        <v>1632.1378999999999</v>
      </c>
      <c r="G94" s="73">
        <f t="shared" si="10"/>
        <v>40864.265009999974</v>
      </c>
      <c r="H94" s="73">
        <f>H79+H82+H90+H91+H92+H93</f>
        <v>41375.734990000026</v>
      </c>
      <c r="I94" s="73">
        <f t="shared" si="10"/>
        <v>40303.645149999975</v>
      </c>
      <c r="J94" s="271"/>
    </row>
    <row r="95" spans="1:10" ht="13.5" customHeight="1" x14ac:dyDescent="0.35">
      <c r="A95" s="1"/>
      <c r="B95" s="281"/>
      <c r="C95" s="74" t="s">
        <v>142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35">
      <c r="A97" s="1"/>
      <c r="B97" s="24"/>
      <c r="C97" s="156" t="s">
        <v>143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3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3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5" customHeight="1" x14ac:dyDescent="0.3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5" customHeight="1" x14ac:dyDescent="0.3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5" customHeight="1" x14ac:dyDescent="0.3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5" customHeight="1" x14ac:dyDescent="0.35">
      <c r="A109" s="1"/>
      <c r="B109" s="149"/>
      <c r="C109" s="161"/>
      <c r="D109" s="185"/>
      <c r="E109" s="185" t="s">
        <v>144</v>
      </c>
      <c r="F109" s="114">
        <v>4158</v>
      </c>
      <c r="G109" s="110"/>
      <c r="H109" s="161"/>
      <c r="I109" s="173"/>
      <c r="J109" s="271"/>
    </row>
    <row r="110" spans="1:10" ht="12" customHeight="1" x14ac:dyDescent="0.3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35">
      <c r="A111" s="101"/>
      <c r="B111" s="24"/>
      <c r="C111" s="101" t="s">
        <v>145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3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5" customHeight="1" x14ac:dyDescent="0.35">
      <c r="A115" s="1"/>
      <c r="B115" s="281"/>
      <c r="C115" s="15" t="s">
        <v>58</v>
      </c>
      <c r="D115" s="27">
        <f>D116+D117+D118</f>
        <v>54246</v>
      </c>
      <c r="E115" s="27">
        <f>E116+E117+E118</f>
        <v>54246</v>
      </c>
      <c r="F115" s="10">
        <f t="shared" ref="F115:I115" si="11">F116+F117+F118</f>
        <v>204.72614999999999</v>
      </c>
      <c r="G115" s="10">
        <f t="shared" si="11"/>
        <v>17632.71803</v>
      </c>
      <c r="H115" s="10">
        <f t="shared" si="11"/>
        <v>36613.281970000004</v>
      </c>
      <c r="I115" s="10">
        <f t="shared" si="11"/>
        <v>28784.40799</v>
      </c>
      <c r="J115" s="271"/>
    </row>
    <row r="116" spans="1:10" ht="14.15" customHeight="1" x14ac:dyDescent="0.35">
      <c r="A116" s="1"/>
      <c r="B116" s="281"/>
      <c r="C116" s="43" t="s">
        <v>20</v>
      </c>
      <c r="D116" s="44">
        <v>43397</v>
      </c>
      <c r="E116" s="44">
        <v>43397</v>
      </c>
      <c r="F116" s="22">
        <f>204.72615</f>
        <v>204.72614999999999</v>
      </c>
      <c r="G116" s="22">
        <f>15301.24728</f>
        <v>15301.24728</v>
      </c>
      <c r="H116" s="22">
        <f>E116-G116</f>
        <v>28095.75272</v>
      </c>
      <c r="I116" s="22">
        <f>25619.02919</f>
        <v>25619.029190000001</v>
      </c>
      <c r="J116" s="271"/>
    </row>
    <row r="117" spans="1:10" ht="15" customHeight="1" x14ac:dyDescent="0.35">
      <c r="A117" s="1"/>
      <c r="B117" s="281"/>
      <c r="C117" s="43" t="s">
        <v>21</v>
      </c>
      <c r="D117" s="44">
        <v>10349</v>
      </c>
      <c r="E117" s="44">
        <v>10349</v>
      </c>
      <c r="F117" s="22">
        <f>0</f>
        <v>0</v>
      </c>
      <c r="G117" s="22">
        <f>2258.53025</f>
        <v>2258.5302499999998</v>
      </c>
      <c r="H117" s="22">
        <f>E117-G117</f>
        <v>8090.4697500000002</v>
      </c>
      <c r="I117" s="22">
        <f>3100.0212</f>
        <v>3100.0212000000001</v>
      </c>
      <c r="J117" s="271"/>
    </row>
    <row r="118" spans="1:10" ht="13.5" customHeight="1" x14ac:dyDescent="0.35">
      <c r="A118" s="1"/>
      <c r="B118" s="281"/>
      <c r="C118" s="47" t="s">
        <v>59</v>
      </c>
      <c r="D118" s="32">
        <v>500</v>
      </c>
      <c r="E118" s="32">
        <v>500</v>
      </c>
      <c r="F118" s="22">
        <f>0</f>
        <v>0</v>
      </c>
      <c r="G118" s="22">
        <f>72.9405</f>
        <v>72.9405</v>
      </c>
      <c r="H118" s="53">
        <f>E118-G118</f>
        <v>427.05950000000001</v>
      </c>
      <c r="I118" s="22">
        <f>65.3576</f>
        <v>65.357600000000005</v>
      </c>
      <c r="J118" s="271"/>
    </row>
    <row r="119" spans="1:10" ht="14.25" customHeight="1" x14ac:dyDescent="0.35">
      <c r="A119" s="65"/>
      <c r="B119" s="75"/>
      <c r="C119" s="85" t="s">
        <v>60</v>
      </c>
      <c r="D119" s="87">
        <v>36653</v>
      </c>
      <c r="E119" s="87">
        <v>36653</v>
      </c>
      <c r="F119" s="92">
        <f>1161.78555</f>
        <v>1161.7855500000001</v>
      </c>
      <c r="G119" s="92">
        <f>4892.51335+372.8265+21.8318</f>
        <v>5287.1716500000002</v>
      </c>
      <c r="H119" s="92">
        <f>E119-G119</f>
        <v>31365.82835</v>
      </c>
      <c r="I119" s="92">
        <f>8968.8458</f>
        <v>8968.8457999999991</v>
      </c>
      <c r="J119" s="111"/>
    </row>
    <row r="120" spans="1:10" ht="15.75" customHeight="1" x14ac:dyDescent="0.35">
      <c r="A120" s="1"/>
      <c r="B120" s="281"/>
      <c r="C120" s="139" t="s">
        <v>22</v>
      </c>
      <c r="D120" s="140">
        <f>D121+D126+D129</f>
        <v>57110</v>
      </c>
      <c r="E120" s="140">
        <f>E121+E126+E129</f>
        <v>57110</v>
      </c>
      <c r="F120" s="91">
        <f>F121+F126+F129</f>
        <v>391.18622000000005</v>
      </c>
      <c r="G120" s="91">
        <f t="shared" ref="G120" si="12">G121+G126+G129</f>
        <v>20287.953750000008</v>
      </c>
      <c r="H120" s="91">
        <f>H121+H126+H129</f>
        <v>36822.046249999992</v>
      </c>
      <c r="I120" s="91">
        <f>I121+I126+I129</f>
        <v>34049.434369999981</v>
      </c>
      <c r="J120" s="117"/>
    </row>
    <row r="121" spans="1:10" ht="14.15" customHeight="1" x14ac:dyDescent="0.3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43182</v>
      </c>
      <c r="F121" s="121">
        <f>F122+F123+F124+F125</f>
        <v>242.49718000000001</v>
      </c>
      <c r="G121" s="121">
        <f>G122+G123+G125+G124</f>
        <v>15404.107510000009</v>
      </c>
      <c r="H121" s="121">
        <f>H122+H123+H124+H125</f>
        <v>27777.892489999991</v>
      </c>
      <c r="I121" s="121">
        <f>I122+I123+I124+I125</f>
        <v>25418.354589999988</v>
      </c>
      <c r="J121" s="305"/>
    </row>
    <row r="122" spans="1:10" ht="14.15" customHeight="1" x14ac:dyDescent="0.35">
      <c r="A122" s="192"/>
      <c r="B122" s="122"/>
      <c r="C122" s="60" t="s">
        <v>24</v>
      </c>
      <c r="D122" s="61">
        <v>11476</v>
      </c>
      <c r="E122" s="61">
        <v>11476</v>
      </c>
      <c r="F122" s="123">
        <f>90.25543</f>
        <v>90.255430000000004</v>
      </c>
      <c r="G122" s="123">
        <f>4259.37782</f>
        <v>4259.3778199999997</v>
      </c>
      <c r="H122" s="123">
        <f>E122-G122</f>
        <v>7216.6221800000003</v>
      </c>
      <c r="I122" s="123">
        <f>5656.55417</f>
        <v>5656.5541700000003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11835</v>
      </c>
      <c r="E123" s="61">
        <v>11835</v>
      </c>
      <c r="F123" s="123">
        <f>21.55625</f>
        <v>21.556249999999999</v>
      </c>
      <c r="G123" s="123">
        <f>4698.90467000001</f>
        <v>4698.9046700000099</v>
      </c>
      <c r="H123" s="123">
        <f>E123-G123</f>
        <v>7136.0953299999901</v>
      </c>
      <c r="I123" s="123">
        <f>7586.03263999999</f>
        <v>7586.0326399999904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10473</v>
      </c>
      <c r="E124" s="61">
        <v>10473</v>
      </c>
      <c r="F124" s="123">
        <f>64.4729</f>
        <v>64.472899999999996</v>
      </c>
      <c r="G124" s="123">
        <f>3400.55992-21.8318</f>
        <v>3378.7281200000002</v>
      </c>
      <c r="H124" s="123">
        <f>E124-G124</f>
        <v>7094.2718800000002</v>
      </c>
      <c r="I124" s="123">
        <f>5835.19973</f>
        <v>5835.1997300000003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9398</v>
      </c>
      <c r="E125" s="61">
        <v>9398</v>
      </c>
      <c r="F125" s="123">
        <f>66.2126</f>
        <v>66.212599999999995</v>
      </c>
      <c r="G125" s="123">
        <f>3439.9234-372.8265</f>
        <v>3067.0969</v>
      </c>
      <c r="H125" s="123">
        <f>E125-G125</f>
        <v>6330.9030999999995</v>
      </c>
      <c r="I125" s="123">
        <f>6340.56805</f>
        <v>6340.5680499999999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6128</v>
      </c>
      <c r="E126" s="55">
        <f>E127+E128</f>
        <v>6128</v>
      </c>
      <c r="F126" s="129">
        <f>SUM(F127:F128)</f>
        <v>14.84235</v>
      </c>
      <c r="G126" s="129">
        <f>SUM(G127:G128)</f>
        <v>1865.1902399999999</v>
      </c>
      <c r="H126" s="129">
        <f>H127+H128</f>
        <v>4262.8097600000001</v>
      </c>
      <c r="I126" s="129">
        <f>SUM(I127:I128)</f>
        <v>5759.8097299999999</v>
      </c>
      <c r="J126" s="130"/>
    </row>
    <row r="127" spans="1:10" ht="14.15" customHeight="1" x14ac:dyDescent="0.35">
      <c r="A127" s="1"/>
      <c r="B127" s="281"/>
      <c r="C127" s="60" t="s">
        <v>62</v>
      </c>
      <c r="D127" s="61">
        <v>5628</v>
      </c>
      <c r="E127" s="61">
        <v>5628</v>
      </c>
      <c r="F127" s="123">
        <f>14.84235</f>
        <v>14.84235</v>
      </c>
      <c r="G127" s="123">
        <f>1696.50977</f>
        <v>1696.5097699999999</v>
      </c>
      <c r="H127" s="123">
        <f t="shared" ref="H127:H135" si="13">E127-G127</f>
        <v>3931.4902300000003</v>
      </c>
      <c r="I127" s="123">
        <f>5637.19086</f>
        <v>5637.1908599999997</v>
      </c>
      <c r="J127" s="117"/>
    </row>
    <row r="128" spans="1:10" ht="15" customHeight="1" x14ac:dyDescent="0.35">
      <c r="A128" s="1"/>
      <c r="B128" s="51"/>
      <c r="C128" s="60" t="s">
        <v>63</v>
      </c>
      <c r="D128" s="61">
        <v>500</v>
      </c>
      <c r="E128" s="61">
        <v>500</v>
      </c>
      <c r="F128" s="123">
        <f>0</f>
        <v>0</v>
      </c>
      <c r="G128" s="123">
        <f>168.68047</f>
        <v>168.68047000000001</v>
      </c>
      <c r="H128" s="123">
        <f t="shared" si="13"/>
        <v>331.31952999999999</v>
      </c>
      <c r="I128" s="123">
        <f>122.61887</f>
        <v>122.61887</v>
      </c>
      <c r="J128" s="131"/>
    </row>
    <row r="129" spans="1:10" ht="15.75" customHeight="1" x14ac:dyDescent="0.35">
      <c r="A129" s="1"/>
      <c r="B129" s="281"/>
      <c r="C129" s="37" t="s">
        <v>11</v>
      </c>
      <c r="D129" s="59">
        <v>7800</v>
      </c>
      <c r="E129" s="59">
        <v>7800</v>
      </c>
      <c r="F129" s="72">
        <f>133.84669</f>
        <v>133.84669</v>
      </c>
      <c r="G129" s="72">
        <f>3018.656</f>
        <v>3018.6559999999999</v>
      </c>
      <c r="H129" s="72">
        <f t="shared" si="13"/>
        <v>4781.3440000000001</v>
      </c>
      <c r="I129" s="72">
        <f>2871.27004999999</f>
        <v>2871.2700499999901</v>
      </c>
      <c r="J129" s="117"/>
    </row>
    <row r="130" spans="1:10" ht="15.75" customHeight="1" x14ac:dyDescent="0.35">
      <c r="A130" s="1"/>
      <c r="B130" s="281"/>
      <c r="C130" s="139" t="s">
        <v>33</v>
      </c>
      <c r="D130" s="140">
        <v>156</v>
      </c>
      <c r="E130" s="140">
        <v>156</v>
      </c>
      <c r="F130" s="136">
        <f>0</f>
        <v>0</v>
      </c>
      <c r="G130" s="136">
        <f>13.01788</f>
        <v>13.01788</v>
      </c>
      <c r="H130" s="136">
        <f t="shared" si="13"/>
        <v>142.98212000000001</v>
      </c>
      <c r="I130" s="136">
        <f>15.5424</f>
        <v>15.542400000000001</v>
      </c>
      <c r="J130" s="117"/>
    </row>
    <row r="131" spans="1:10" ht="15.75" customHeight="1" x14ac:dyDescent="0.35">
      <c r="A131" s="1"/>
      <c r="B131" s="281"/>
      <c r="C131" s="137" t="s">
        <v>64</v>
      </c>
      <c r="D131" s="86">
        <v>350</v>
      </c>
      <c r="E131" s="86">
        <v>350</v>
      </c>
      <c r="F131" s="95">
        <f>0</f>
        <v>0</v>
      </c>
      <c r="G131" s="95">
        <f>12.58</f>
        <v>12.58</v>
      </c>
      <c r="H131" s="95">
        <f t="shared" si="13"/>
        <v>337.42</v>
      </c>
      <c r="I131" s="95">
        <f>292.56</f>
        <v>292.56</v>
      </c>
      <c r="J131" s="117"/>
    </row>
    <row r="132" spans="1:10" ht="18" customHeight="1" x14ac:dyDescent="0.35">
      <c r="A132" s="1"/>
      <c r="B132" s="281"/>
      <c r="C132" s="137" t="s">
        <v>65</v>
      </c>
      <c r="D132" s="140">
        <v>2000</v>
      </c>
      <c r="E132" s="140">
        <v>2000</v>
      </c>
      <c r="F132" s="136">
        <f>15.58551</f>
        <v>15.585509999999999</v>
      </c>
      <c r="G132" s="136">
        <f>E132</f>
        <v>2000</v>
      </c>
      <c r="H132" s="136">
        <f t="shared" si="13"/>
        <v>0</v>
      </c>
      <c r="I132" s="136">
        <f>E132</f>
        <v>2000</v>
      </c>
      <c r="J132" s="271"/>
    </row>
    <row r="133" spans="1:10" ht="15.75" customHeight="1" x14ac:dyDescent="0.3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35">
      <c r="A134" s="1"/>
      <c r="B134" s="281"/>
      <c r="C134" s="139" t="s">
        <v>66</v>
      </c>
      <c r="D134" s="140">
        <v>255</v>
      </c>
      <c r="E134" s="140">
        <v>255</v>
      </c>
      <c r="F134" s="95">
        <f>0.04</f>
        <v>0.04</v>
      </c>
      <c r="G134" s="95">
        <f>4.77608</f>
        <v>4.7760800000000003</v>
      </c>
      <c r="H134" s="136">
        <f t="shared" si="13"/>
        <v>250.22391999999999</v>
      </c>
      <c r="I134" s="95">
        <f>81.79275</f>
        <v>81.792749999999998</v>
      </c>
      <c r="J134" s="117"/>
    </row>
    <row r="135" spans="1:10" ht="15" customHeight="1" x14ac:dyDescent="0.35">
      <c r="A135" s="1"/>
      <c r="B135" s="281"/>
      <c r="C135" s="139" t="s">
        <v>38</v>
      </c>
      <c r="D135" s="142"/>
      <c r="E135" s="140"/>
      <c r="F135" s="136">
        <f>0</f>
        <v>0</v>
      </c>
      <c r="G135" s="136">
        <f>64.41975</f>
        <v>64.419749999999993</v>
      </c>
      <c r="H135" s="136">
        <f t="shared" si="13"/>
        <v>-64.419749999999993</v>
      </c>
      <c r="I135" s="136">
        <f>74.77426</f>
        <v>74.774259999999998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150770</v>
      </c>
      <c r="F137" s="73">
        <f>F115+F119+F120+F130+F131+F132+F133+F134+F135</f>
        <v>1773.3234299999999</v>
      </c>
      <c r="G137" s="73">
        <f>G115+G119+G120+G130+G131+G132+G133+G134+G135</f>
        <v>45302.637140000013</v>
      </c>
      <c r="H137" s="73">
        <f>H115+H119+H120+H130+H131+H132+H133+H134+H135</f>
        <v>105467.36285999999</v>
      </c>
      <c r="I137" s="73">
        <f>I115+I119+I120+I130+I131+I132+I133+I134+I135</f>
        <v>74267.357569999993</v>
      </c>
      <c r="J137" s="155"/>
    </row>
    <row r="138" spans="1:10" ht="14.25" customHeight="1" x14ac:dyDescent="0.3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156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3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3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3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35">
      <c r="A143" s="152"/>
      <c r="B143" s="50"/>
      <c r="C143" s="74" t="s">
        <v>146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5" customHeight="1" x14ac:dyDescent="0.3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5" customHeight="1" x14ac:dyDescent="0.3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5" customHeight="1" x14ac:dyDescent="0.3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5" customHeight="1" x14ac:dyDescent="0.3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5" customHeight="1" x14ac:dyDescent="0.3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3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3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5" customHeight="1" x14ac:dyDescent="0.35">
      <c r="A160" s="1"/>
      <c r="B160" s="281"/>
      <c r="C160" s="138" t="s">
        <v>70</v>
      </c>
      <c r="D160" s="91">
        <v>3754</v>
      </c>
      <c r="E160" s="301">
        <f>37.81684</f>
        <v>37.816839999999999</v>
      </c>
      <c r="F160" s="301">
        <f>592.664519999999</f>
        <v>592.66451999999902</v>
      </c>
      <c r="G160" s="42">
        <f>D160-F160-F161</f>
        <v>2466.1100100000012</v>
      </c>
      <c r="H160" s="301">
        <f>400.28991</f>
        <v>400.28991000000002</v>
      </c>
      <c r="I160" s="1"/>
      <c r="J160" s="117"/>
    </row>
    <row r="161" spans="1:10" ht="14.15" customHeight="1" x14ac:dyDescent="0.35">
      <c r="A161" s="1"/>
      <c r="B161" s="281"/>
      <c r="C161" s="133" t="s">
        <v>50</v>
      </c>
      <c r="D161" s="175"/>
      <c r="E161" s="148">
        <f>48.23186</f>
        <v>48.231859999999998</v>
      </c>
      <c r="F161" s="148">
        <f>695.22547</f>
        <v>695.22546999999997</v>
      </c>
      <c r="G161" s="219"/>
      <c r="H161" s="148">
        <f>665.02085</f>
        <v>665.02085</v>
      </c>
      <c r="I161" s="1"/>
      <c r="J161" s="117"/>
    </row>
    <row r="162" spans="1:10" ht="15.65" customHeight="1" x14ac:dyDescent="0.35">
      <c r="A162" s="1"/>
      <c r="B162" s="281"/>
      <c r="C162" s="163" t="s">
        <v>71</v>
      </c>
      <c r="D162" s="95">
        <v>200</v>
      </c>
      <c r="E162" s="166">
        <f>0.2409</f>
        <v>0.2409</v>
      </c>
      <c r="F162" s="166">
        <f>50.39565</f>
        <v>50.395650000000003</v>
      </c>
      <c r="G162" s="166">
        <f>D162-F162</f>
        <v>149.60435000000001</v>
      </c>
      <c r="H162" s="166">
        <f>51.71089</f>
        <v>51.710889999999999</v>
      </c>
      <c r="I162" s="1"/>
      <c r="J162" s="117"/>
    </row>
    <row r="163" spans="1:10" ht="14.15" customHeight="1" x14ac:dyDescent="0.35">
      <c r="A163" s="65"/>
      <c r="B163" s="75"/>
      <c r="C163" s="174" t="s">
        <v>72</v>
      </c>
      <c r="D163" s="175">
        <v>5630</v>
      </c>
      <c r="E163" s="175">
        <f>E164+E165+E166</f>
        <v>10.701000000000001</v>
      </c>
      <c r="F163" s="175">
        <f>F164+F165+F166</f>
        <v>155.47086000000002</v>
      </c>
      <c r="G163" s="175">
        <f>D163-F163</f>
        <v>5474.5291399999996</v>
      </c>
      <c r="H163" s="175">
        <f>H164+H165+H166</f>
        <v>153.88337999999999</v>
      </c>
      <c r="I163" s="65"/>
      <c r="J163" s="111"/>
    </row>
    <row r="164" spans="1:10" ht="14.15" customHeight="1" x14ac:dyDescent="0.35">
      <c r="A164" s="192"/>
      <c r="B164" s="176"/>
      <c r="C164" s="177" t="s">
        <v>73</v>
      </c>
      <c r="D164" s="123"/>
      <c r="E164" s="123">
        <f>5.88724</f>
        <v>5.8872400000000003</v>
      </c>
      <c r="F164" s="123">
        <f>57.70374</f>
        <v>57.703740000000003</v>
      </c>
      <c r="G164" s="123"/>
      <c r="H164" s="123">
        <f>45.4438</f>
        <v>45.443800000000003</v>
      </c>
      <c r="I164" s="181"/>
      <c r="J164" s="126"/>
    </row>
    <row r="165" spans="1:10" ht="14.15" customHeight="1" x14ac:dyDescent="0.35">
      <c r="A165" s="192"/>
      <c r="B165" s="176"/>
      <c r="C165" s="177" t="s">
        <v>74</v>
      </c>
      <c r="D165" s="123"/>
      <c r="E165" s="123">
        <f>2.61048</f>
        <v>2.6104799999999999</v>
      </c>
      <c r="F165" s="123">
        <f>60.65938</f>
        <v>60.659379999999999</v>
      </c>
      <c r="G165" s="123"/>
      <c r="H165" s="123">
        <f>59.64216</f>
        <v>59.642159999999997</v>
      </c>
      <c r="I165" s="181"/>
      <c r="J165" s="182"/>
    </row>
    <row r="166" spans="1:10" ht="14.15" customHeight="1" x14ac:dyDescent="0.35">
      <c r="A166" s="192"/>
      <c r="B166" s="176"/>
      <c r="C166" s="183" t="s">
        <v>75</v>
      </c>
      <c r="D166" s="186"/>
      <c r="E166" s="186">
        <f>2.20328</f>
        <v>2.2032799999999999</v>
      </c>
      <c r="F166" s="186">
        <f>37.10774</f>
        <v>37.10774</v>
      </c>
      <c r="G166" s="186"/>
      <c r="H166" s="186">
        <f>48.79742</f>
        <v>48.797420000000002</v>
      </c>
      <c r="I166" s="181"/>
      <c r="J166" s="182"/>
    </row>
    <row r="167" spans="1:10" ht="14.15" customHeight="1" x14ac:dyDescent="0.35">
      <c r="A167" s="1"/>
      <c r="B167" s="281"/>
      <c r="C167" s="70" t="s">
        <v>76</v>
      </c>
      <c r="D167" s="136">
        <v>91</v>
      </c>
      <c r="E167" s="136">
        <f>2.9699</f>
        <v>2.9699</v>
      </c>
      <c r="F167" s="136">
        <f>8.70186</f>
        <v>8.7018599999999999</v>
      </c>
      <c r="G167" s="136">
        <f>D167-F167</f>
        <v>82.298140000000004</v>
      </c>
      <c r="H167" s="136">
        <f>5.3531</f>
        <v>5.3531000000000004</v>
      </c>
      <c r="I167" s="173"/>
      <c r="J167" s="271"/>
    </row>
    <row r="168" spans="1:10" ht="16.5" customHeight="1" x14ac:dyDescent="0.3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99.960499999999996</v>
      </c>
      <c r="F169" s="188">
        <f>F160+F161+F162+F163+F167+F168</f>
        <v>1502.4583599999989</v>
      </c>
      <c r="G169" s="188">
        <f>D169-F169</f>
        <v>8172.5416400000013</v>
      </c>
      <c r="H169" s="188">
        <f>H160+H161+H162+H163+H167+H168</f>
        <v>1276.2581300000002</v>
      </c>
      <c r="I169" s="159"/>
      <c r="J169" s="155"/>
    </row>
    <row r="170" spans="1:10" ht="42" customHeight="1" x14ac:dyDescent="0.35">
      <c r="A170" s="1"/>
      <c r="B170" s="193"/>
      <c r="C170" s="254" t="s">
        <v>147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3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3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81"/>
      <c r="C182" s="101" t="s">
        <v>148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81"/>
      <c r="C183" s="101" t="s">
        <v>149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81"/>
      <c r="C184" s="101" t="s">
        <v>150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3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35">
      <c r="A189" s="1"/>
      <c r="B189" s="281"/>
      <c r="C189" s="90" t="s">
        <v>4</v>
      </c>
      <c r="D189" s="124">
        <v>45561</v>
      </c>
      <c r="E189" s="124">
        <v>42740</v>
      </c>
      <c r="F189" s="124">
        <f>2197.96826</f>
        <v>2197.9682600000001</v>
      </c>
      <c r="G189" s="124">
        <f>17595.48755</f>
        <v>17595.487550000002</v>
      </c>
      <c r="H189" s="124">
        <f>E189-G189</f>
        <v>25144.512449999998</v>
      </c>
      <c r="I189" s="124">
        <f>20405.26054</f>
        <v>20405.260539999999</v>
      </c>
      <c r="J189" s="117"/>
    </row>
    <row r="190" spans="1:10" ht="15" customHeight="1" x14ac:dyDescent="0.35">
      <c r="A190" s="1"/>
      <c r="B190" s="281"/>
      <c r="C190" s="90" t="s">
        <v>63</v>
      </c>
      <c r="D190" s="124">
        <v>100</v>
      </c>
      <c r="E190" s="124">
        <v>100</v>
      </c>
      <c r="F190" s="124">
        <f>0.3535</f>
        <v>0.35349999999999998</v>
      </c>
      <c r="G190" s="124">
        <f>12.78806</f>
        <v>12.78806</v>
      </c>
      <c r="H190" s="124">
        <f>E190-G190</f>
        <v>87.211939999999998</v>
      </c>
      <c r="I190" s="124">
        <f>14.90131</f>
        <v>14.90131</v>
      </c>
      <c r="J190" s="117"/>
    </row>
    <row r="191" spans="1:10" ht="15.75" customHeight="1" x14ac:dyDescent="0.35">
      <c r="A191" s="1"/>
      <c r="B191" s="281"/>
      <c r="C191" s="146" t="s">
        <v>76</v>
      </c>
      <c r="D191" s="168">
        <v>46</v>
      </c>
      <c r="E191" s="168">
        <v>46</v>
      </c>
      <c r="F191" s="136">
        <f>0</f>
        <v>0</v>
      </c>
      <c r="G191" s="136">
        <f>0</f>
        <v>0</v>
      </c>
      <c r="H191" s="136">
        <f>E191-G191</f>
        <v>46</v>
      </c>
      <c r="I191" s="136">
        <f>0</f>
        <v>0</v>
      </c>
      <c r="J191" s="117"/>
    </row>
    <row r="192" spans="1:10" ht="16.5" customHeight="1" x14ac:dyDescent="0.35">
      <c r="A192" s="1"/>
      <c r="B192" s="281"/>
      <c r="C192" s="179" t="s">
        <v>82</v>
      </c>
      <c r="D192" s="190">
        <f>SUM(D189:D191)</f>
        <v>45707</v>
      </c>
      <c r="E192" s="190">
        <f>SUM(E189:E191)</f>
        <v>42886</v>
      </c>
      <c r="F192" s="190">
        <f>SUM(F189:F191)</f>
        <v>2198.3217600000003</v>
      </c>
      <c r="G192" s="190">
        <f>SUM(G189:G191)</f>
        <v>17608.275610000001</v>
      </c>
      <c r="H192" s="190">
        <f>E192-G192</f>
        <v>25277.724389999999</v>
      </c>
      <c r="I192" s="190">
        <f>SUM(I189:I191)</f>
        <v>20420.16185</v>
      </c>
      <c r="J192" s="117"/>
    </row>
    <row r="193" spans="1:10" ht="12" customHeight="1" x14ac:dyDescent="0.3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243" t="s">
        <v>151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3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35">
      <c r="A202" s="1"/>
      <c r="B202" s="281"/>
      <c r="C202" s="90" t="s">
        <v>112</v>
      </c>
      <c r="D202" s="124">
        <v>3202</v>
      </c>
      <c r="E202" s="72">
        <f>E203+E204</f>
        <v>124.66271999999999</v>
      </c>
      <c r="F202" s="72">
        <f>F203+F204</f>
        <v>2447.9849599999989</v>
      </c>
      <c r="G202" s="72">
        <f>D202-F202</f>
        <v>754.01504000000114</v>
      </c>
      <c r="H202" s="72">
        <f>H203+H204</f>
        <v>2384.54871</v>
      </c>
      <c r="I202" s="275"/>
      <c r="J202" s="117"/>
    </row>
    <row r="203" spans="1:10" ht="15" customHeight="1" x14ac:dyDescent="0.35">
      <c r="A203" s="1"/>
      <c r="B203" s="281"/>
      <c r="C203" s="172" t="s">
        <v>8</v>
      </c>
      <c r="D203" s="124"/>
      <c r="E203" s="72">
        <f>123.54302</f>
        <v>123.54302</v>
      </c>
      <c r="F203" s="72">
        <f>1920.62762</f>
        <v>1920.62762</v>
      </c>
      <c r="G203" s="72"/>
      <c r="H203" s="72">
        <f>1876.66134</f>
        <v>1876.6613400000001</v>
      </c>
      <c r="I203" s="275"/>
      <c r="J203" s="117"/>
    </row>
    <row r="204" spans="1:10" ht="15" customHeight="1" x14ac:dyDescent="0.35">
      <c r="A204" s="1"/>
      <c r="B204" s="281"/>
      <c r="C204" s="172" t="s">
        <v>63</v>
      </c>
      <c r="D204" s="124"/>
      <c r="E204" s="124">
        <f>1.1197</f>
        <v>1.1196999999999999</v>
      </c>
      <c r="F204" s="124">
        <f>527.357339999999</f>
        <v>527.357339999999</v>
      </c>
      <c r="G204" s="168"/>
      <c r="H204" s="124">
        <f>507.88737</f>
        <v>507.88736999999998</v>
      </c>
      <c r="I204" s="275"/>
      <c r="J204" s="117"/>
    </row>
    <row r="205" spans="1:10" ht="15" customHeight="1" x14ac:dyDescent="0.35">
      <c r="A205" s="1"/>
      <c r="B205" s="281"/>
      <c r="C205" s="90" t="s">
        <v>113</v>
      </c>
      <c r="D205" s="124">
        <v>3704</v>
      </c>
      <c r="E205" s="72">
        <f>94.19276</f>
        <v>94.192760000000007</v>
      </c>
      <c r="F205" s="72">
        <f>2377.19624</f>
        <v>2377.1962400000002</v>
      </c>
      <c r="G205" s="72">
        <f>D205-F205</f>
        <v>1326.8037599999998</v>
      </c>
      <c r="H205" s="72">
        <f>3415.42269</f>
        <v>3415.4226899999999</v>
      </c>
      <c r="I205" s="275"/>
      <c r="J205" s="117"/>
    </row>
    <row r="206" spans="1:10" ht="16.5" customHeight="1" x14ac:dyDescent="0.35">
      <c r="A206" s="1"/>
      <c r="B206" s="281"/>
      <c r="C206" s="179" t="s">
        <v>82</v>
      </c>
      <c r="D206" s="190">
        <f>D205+D202</f>
        <v>6906</v>
      </c>
      <c r="E206" s="190">
        <f>SUM(E202,E205)</f>
        <v>218.85548</v>
      </c>
      <c r="F206" s="190">
        <f>SUM(F202,F205)</f>
        <v>4825.1811999999991</v>
      </c>
      <c r="G206" s="190">
        <f>D206-F206</f>
        <v>2080.8188000000009</v>
      </c>
      <c r="H206" s="190">
        <f>SUM(H202,H205)</f>
        <v>5799.9714000000004</v>
      </c>
      <c r="I206" s="275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3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35">
      <c r="A215" s="1"/>
      <c r="B215" s="281"/>
      <c r="C215" s="90" t="s">
        <v>112</v>
      </c>
      <c r="D215" s="124">
        <v>5516</v>
      </c>
      <c r="E215" s="72">
        <f>E216+E217</f>
        <v>264.99786</v>
      </c>
      <c r="F215" s="72">
        <f>F216+F217</f>
        <v>3606.4155499999988</v>
      </c>
      <c r="G215" s="72">
        <f>D215-F215</f>
        <v>1909.5844500000012</v>
      </c>
      <c r="H215" s="72">
        <f>H216+H217</f>
        <v>2310.1510499999999</v>
      </c>
      <c r="I215" s="275"/>
      <c r="J215" s="117"/>
    </row>
    <row r="216" spans="1:10" ht="15" customHeight="1" x14ac:dyDescent="0.35">
      <c r="A216" s="1"/>
      <c r="B216" s="281"/>
      <c r="C216" s="172" t="s">
        <v>8</v>
      </c>
      <c r="D216" s="124"/>
      <c r="E216" s="72">
        <f>263.6168</f>
        <v>263.61680000000001</v>
      </c>
      <c r="F216" s="72">
        <f>3274.16392</f>
        <v>3274.16392</v>
      </c>
      <c r="G216" s="72"/>
      <c r="H216" s="72">
        <f>2035.28924</f>
        <v>2035.2892400000001</v>
      </c>
      <c r="I216" s="275"/>
      <c r="J216" s="117"/>
    </row>
    <row r="217" spans="1:10" ht="15" customHeight="1" x14ac:dyDescent="0.35">
      <c r="A217" s="1"/>
      <c r="B217" s="281"/>
      <c r="C217" s="172" t="s">
        <v>63</v>
      </c>
      <c r="D217" s="124"/>
      <c r="E217" s="124">
        <f>1.38106</f>
        <v>1.38106</v>
      </c>
      <c r="F217" s="124">
        <f>332.251629999999</f>
        <v>332.25162999999901</v>
      </c>
      <c r="G217" s="168"/>
      <c r="H217" s="124">
        <f>274.86181</f>
        <v>274.86180999999999</v>
      </c>
      <c r="I217" s="275"/>
      <c r="J217" s="117"/>
    </row>
    <row r="218" spans="1:10" ht="15" customHeight="1" x14ac:dyDescent="0.35">
      <c r="A218" s="1"/>
      <c r="B218" s="281"/>
      <c r="C218" s="90" t="s">
        <v>113</v>
      </c>
      <c r="D218" s="124">
        <v>3232</v>
      </c>
      <c r="E218" s="72">
        <f>76.6204200000001</f>
        <v>76.620420000000095</v>
      </c>
      <c r="F218" s="72">
        <f>1885.67445</f>
        <v>1885.67445</v>
      </c>
      <c r="G218" s="72">
        <f>D218-F218</f>
        <v>1346.32555</v>
      </c>
      <c r="H218" s="72">
        <f>1411.02225000001</f>
        <v>1411.02225000001</v>
      </c>
      <c r="I218" s="275"/>
      <c r="J218" s="117"/>
    </row>
    <row r="219" spans="1:10" ht="16.5" customHeight="1" x14ac:dyDescent="0.35">
      <c r="A219" s="1"/>
      <c r="B219" s="281"/>
      <c r="C219" s="179" t="s">
        <v>82</v>
      </c>
      <c r="D219" s="190">
        <f>D218+D215</f>
        <v>8748</v>
      </c>
      <c r="E219" s="190">
        <f>SUM(E215,E218)</f>
        <v>341.61828000000008</v>
      </c>
      <c r="F219" s="190">
        <f>SUM(F215,F218)</f>
        <v>5492.0899999999983</v>
      </c>
      <c r="G219" s="190">
        <f>D219-F219</f>
        <v>3255.9100000000017</v>
      </c>
      <c r="H219" s="190">
        <f>SUM(H215,H218)</f>
        <v>3721.1733000000099</v>
      </c>
      <c r="I219" s="275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75" customHeight="1" x14ac:dyDescent="0.3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5" customHeight="1" x14ac:dyDescent="0.3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5" customHeight="1" x14ac:dyDescent="0.3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3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3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5" customHeight="1" x14ac:dyDescent="0.3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3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35">
      <c r="A237" s="65"/>
      <c r="B237" s="75"/>
      <c r="C237" s="90" t="s">
        <v>88</v>
      </c>
      <c r="D237" s="124">
        <v>800</v>
      </c>
      <c r="E237" s="124">
        <f>3.74296</f>
        <v>3.7429600000000001</v>
      </c>
      <c r="F237" s="124">
        <f>77.7657900000001</f>
        <v>77.765790000000095</v>
      </c>
      <c r="G237" s="124">
        <f>D237-F237</f>
        <v>722.23420999999985</v>
      </c>
      <c r="H237" s="124">
        <f>200.3737</f>
        <v>200.37370000000001</v>
      </c>
      <c r="I237" s="65"/>
      <c r="J237" s="271"/>
    </row>
    <row r="238" spans="1:10" ht="14.15" customHeight="1" x14ac:dyDescent="0.35">
      <c r="A238" s="1"/>
      <c r="B238" s="281"/>
      <c r="C238" s="90" t="s">
        <v>89</v>
      </c>
      <c r="D238" s="273">
        <v>706</v>
      </c>
      <c r="E238" s="124">
        <f>10.64422</f>
        <v>10.644220000000001</v>
      </c>
      <c r="F238" s="124">
        <f>213.709179999999</f>
        <v>213.70917999999901</v>
      </c>
      <c r="G238" s="124">
        <f>D238-F238</f>
        <v>492.29082000000096</v>
      </c>
      <c r="H238" s="124">
        <f>341.560769999999</f>
        <v>341.56076999999902</v>
      </c>
      <c r="I238" s="173"/>
      <c r="J238" s="111"/>
    </row>
    <row r="239" spans="1:10" ht="16.5" customHeight="1" x14ac:dyDescent="0.3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0.045</f>
        <v>4.4999999999999998E-2</v>
      </c>
      <c r="G239" s="124">
        <f>D239-F239</f>
        <v>9.9550000000000001</v>
      </c>
      <c r="H239" s="168">
        <f>0.05414</f>
        <v>5.4140000000000001E-2</v>
      </c>
      <c r="I239" s="65"/>
      <c r="J239" s="276"/>
    </row>
    <row r="240" spans="1:10" ht="18.75" customHeight="1" x14ac:dyDescent="0.35">
      <c r="A240" s="65"/>
      <c r="B240" s="277"/>
      <c r="C240" s="146" t="s">
        <v>90</v>
      </c>
      <c r="D240" s="249"/>
      <c r="E240" s="168">
        <f>0</f>
        <v>0</v>
      </c>
      <c r="F240" s="168">
        <f>0.12496</f>
        <v>0.12496</v>
      </c>
      <c r="G240" s="124">
        <f>D240-F240</f>
        <v>-0.12496</v>
      </c>
      <c r="H240" s="168">
        <f>0.6194</f>
        <v>0.61939999999999995</v>
      </c>
      <c r="I240" s="309"/>
      <c r="J240" s="117"/>
    </row>
    <row r="241" spans="1:10" ht="14.15" customHeight="1" x14ac:dyDescent="0.35">
      <c r="A241" s="1"/>
      <c r="B241" s="281"/>
      <c r="C241" s="179" t="s">
        <v>82</v>
      </c>
      <c r="D241" s="5">
        <f>D226</f>
        <v>1516</v>
      </c>
      <c r="E241" s="190">
        <f>SUM(E237:E240)</f>
        <v>14.387180000000001</v>
      </c>
      <c r="F241" s="190">
        <f>SUM(F237:F240)</f>
        <v>291.64492999999908</v>
      </c>
      <c r="G241" s="190">
        <f>D241-F241</f>
        <v>1224.355070000001</v>
      </c>
      <c r="H241" s="190">
        <f>H237+H238+H239+H240</f>
        <v>542.60800999999901</v>
      </c>
      <c r="I241" s="1"/>
      <c r="J241" s="117"/>
    </row>
    <row r="242" spans="1:10" ht="14.15" customHeight="1" x14ac:dyDescent="0.3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108</v>
      </c>
    </row>
    <row r="245" spans="1:10" ht="14.15" customHeight="1" x14ac:dyDescent="0.35">
      <c r="A245" s="1" t="s">
        <v>108</v>
      </c>
    </row>
    <row r="246" spans="1:10" ht="30" customHeight="1" x14ac:dyDescent="0.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3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3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3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5" customHeight="1" x14ac:dyDescent="0.3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4" customHeight="1" x14ac:dyDescent="0.3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4" customHeight="1" x14ac:dyDescent="0.3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3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3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5" customHeight="1" x14ac:dyDescent="0.3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18840</v>
      </c>
      <c r="F262" s="280">
        <f t="shared" si="15"/>
        <v>19.2682</v>
      </c>
      <c r="G262" s="280">
        <f t="shared" si="15"/>
        <v>1490.0468300000002</v>
      </c>
      <c r="H262" s="280">
        <f>H266+H265+H264+H263</f>
        <v>17349.953170000001</v>
      </c>
      <c r="I262" s="280">
        <f t="shared" si="15"/>
        <v>3711.3027399999996</v>
      </c>
      <c r="J262" s="127"/>
    </row>
    <row r="263" spans="1:10" ht="14.15" customHeight="1" x14ac:dyDescent="0.35">
      <c r="A263" s="223"/>
      <c r="B263" s="69"/>
      <c r="C263" s="282" t="s">
        <v>98</v>
      </c>
      <c r="D263" s="283">
        <v>7457</v>
      </c>
      <c r="E263" s="283">
        <v>10175</v>
      </c>
      <c r="F263" s="284">
        <f>0</f>
        <v>0</v>
      </c>
      <c r="G263" s="284">
        <f>258.76306</f>
        <v>258.76306</v>
      </c>
      <c r="H263" s="284">
        <f t="shared" ref="H263:H268" si="16">E263-G263</f>
        <v>9916.2369400000007</v>
      </c>
      <c r="I263" s="284">
        <f>1322.87063</f>
        <v>1322.8706299999999</v>
      </c>
      <c r="J263" s="127"/>
    </row>
    <row r="264" spans="1:10" ht="14.15" customHeight="1" x14ac:dyDescent="0.35">
      <c r="A264" s="223"/>
      <c r="B264" s="69"/>
      <c r="C264" s="286" t="s">
        <v>21</v>
      </c>
      <c r="D264" s="283">
        <v>1941</v>
      </c>
      <c r="E264" s="283">
        <v>2649</v>
      </c>
      <c r="F264" s="284">
        <f>0</f>
        <v>0</v>
      </c>
      <c r="G264" s="284">
        <f>35.64</f>
        <v>35.64</v>
      </c>
      <c r="H264" s="284">
        <f t="shared" si="16"/>
        <v>2613.36</v>
      </c>
      <c r="I264" s="284">
        <f>399.5217</f>
        <v>399.52170000000001</v>
      </c>
      <c r="J264" s="127"/>
    </row>
    <row r="265" spans="1:10" ht="14.15" customHeight="1" x14ac:dyDescent="0.35">
      <c r="A265" s="223"/>
      <c r="B265" s="69"/>
      <c r="C265" s="286" t="s">
        <v>95</v>
      </c>
      <c r="D265" s="283">
        <v>1338</v>
      </c>
      <c r="E265" s="283">
        <v>1407</v>
      </c>
      <c r="F265" s="284">
        <f>7.4218</f>
        <v>7.4218000000000002</v>
      </c>
      <c r="G265" s="284">
        <f>714.40921</f>
        <v>714.40921000000003</v>
      </c>
      <c r="H265" s="284">
        <f t="shared" si="16"/>
        <v>692.59078999999997</v>
      </c>
      <c r="I265" s="284">
        <f>901.01042</f>
        <v>901.01041999999995</v>
      </c>
      <c r="J265" s="127"/>
    </row>
    <row r="266" spans="1:10" ht="14.15" customHeight="1" x14ac:dyDescent="0.35">
      <c r="A266" s="223"/>
      <c r="B266" s="69"/>
      <c r="C266" s="288" t="s">
        <v>118</v>
      </c>
      <c r="D266" s="289">
        <v>4479</v>
      </c>
      <c r="E266" s="289">
        <v>4609</v>
      </c>
      <c r="F266" s="284">
        <f>11.8464</f>
        <v>11.846399999999999</v>
      </c>
      <c r="G266" s="284">
        <f>481.23456</f>
        <v>481.23455999999999</v>
      </c>
      <c r="H266" s="284">
        <f t="shared" si="16"/>
        <v>4127.7654400000001</v>
      </c>
      <c r="I266" s="284">
        <f>1087.89999</f>
        <v>1087.8999899999999</v>
      </c>
      <c r="J266" s="127"/>
    </row>
    <row r="267" spans="1:10" ht="14.15" customHeight="1" x14ac:dyDescent="0.35">
      <c r="A267" s="223"/>
      <c r="B267" s="69"/>
      <c r="C267" s="291" t="s">
        <v>56</v>
      </c>
      <c r="D267" s="292">
        <v>5500</v>
      </c>
      <c r="E267" s="292">
        <v>5500</v>
      </c>
      <c r="F267" s="294">
        <f>182.9</f>
        <v>182.9</v>
      </c>
      <c r="G267" s="294">
        <f>1068.814</f>
        <v>1068.8140000000001</v>
      </c>
      <c r="H267" s="294">
        <f t="shared" si="16"/>
        <v>4431.1859999999997</v>
      </c>
      <c r="I267" s="294">
        <f>2462.63644</f>
        <v>2462.6364400000002</v>
      </c>
      <c r="J267" s="127"/>
    </row>
    <row r="268" spans="1:10" ht="14.15" customHeight="1" x14ac:dyDescent="0.35">
      <c r="A268" s="223"/>
      <c r="B268" s="69"/>
      <c r="C268" s="274" t="s">
        <v>22</v>
      </c>
      <c r="D268" s="278">
        <v>8000</v>
      </c>
      <c r="E268" s="278">
        <v>8000</v>
      </c>
      <c r="F268" s="295">
        <f>F270+F269</f>
        <v>15.495149999999999</v>
      </c>
      <c r="G268" s="295">
        <f>G270+G269</f>
        <v>966.30369000000098</v>
      </c>
      <c r="H268" s="295">
        <f t="shared" si="16"/>
        <v>7033.6963099999994</v>
      </c>
      <c r="I268" s="295">
        <f>I270+I269</f>
        <v>1194.848490000001</v>
      </c>
      <c r="J268" s="127"/>
    </row>
    <row r="269" spans="1:10" ht="14.15" customHeight="1" x14ac:dyDescent="0.35">
      <c r="A269" s="223"/>
      <c r="B269" s="69"/>
      <c r="C269" s="286" t="s">
        <v>50</v>
      </c>
      <c r="D269" s="297"/>
      <c r="E269" s="283"/>
      <c r="F269" s="284">
        <f>1.86962</f>
        <v>1.8696200000000001</v>
      </c>
      <c r="G269" s="284">
        <f>331.80881</f>
        <v>331.80880999999999</v>
      </c>
      <c r="H269" s="284"/>
      <c r="I269" s="284">
        <f>447.82058</f>
        <v>447.82058000000001</v>
      </c>
      <c r="J269" s="127"/>
    </row>
    <row r="270" spans="1:10" ht="14.15" customHeight="1" x14ac:dyDescent="0.35">
      <c r="A270" s="223"/>
      <c r="B270" s="69"/>
      <c r="C270" s="299" t="s">
        <v>99</v>
      </c>
      <c r="D270" s="300"/>
      <c r="E270" s="302"/>
      <c r="F270" s="303">
        <f>13.62553</f>
        <v>13.625529999999999</v>
      </c>
      <c r="G270" s="303">
        <f>634.494880000001</f>
        <v>634.49488000000099</v>
      </c>
      <c r="H270" s="303"/>
      <c r="I270" s="303">
        <f>747.027910000001</f>
        <v>747.02791000000104</v>
      </c>
      <c r="J270" s="127"/>
    </row>
    <row r="271" spans="1:10" ht="14.15" customHeight="1" x14ac:dyDescent="0.35">
      <c r="A271" s="223"/>
      <c r="B271" s="69"/>
      <c r="C271" s="291" t="s">
        <v>33</v>
      </c>
      <c r="D271" s="292">
        <v>13</v>
      </c>
      <c r="E271" s="292">
        <v>13</v>
      </c>
      <c r="F271" s="294">
        <f>0</f>
        <v>0</v>
      </c>
      <c r="G271" s="294">
        <f>0</f>
        <v>0</v>
      </c>
      <c r="H271" s="294">
        <f>E271-G271</f>
        <v>13</v>
      </c>
      <c r="I271" s="294">
        <f>0.0135</f>
        <v>1.35E-2</v>
      </c>
      <c r="J271" s="127"/>
    </row>
    <row r="272" spans="1:10" ht="14.15" customHeight="1" x14ac:dyDescent="0.35">
      <c r="A272" s="223"/>
      <c r="B272" s="69"/>
      <c r="C272" s="304" t="s">
        <v>100</v>
      </c>
      <c r="D272" s="307"/>
      <c r="E272" s="308"/>
      <c r="F272" s="294">
        <f>2.3772</f>
        <v>2.3772000000000002</v>
      </c>
      <c r="G272" s="294">
        <f>7.99298</f>
        <v>7.9929800000000002</v>
      </c>
      <c r="H272" s="294">
        <f>E272-G272</f>
        <v>-7.9929800000000002</v>
      </c>
      <c r="I272" s="294">
        <f>4.4504</f>
        <v>4.4504000000000001</v>
      </c>
      <c r="J272" s="127"/>
    </row>
    <row r="273" spans="1:10" ht="19.5" customHeight="1" x14ac:dyDescent="0.3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32353</v>
      </c>
      <c r="F273" s="312">
        <f t="shared" ref="F273:I273" si="17">F262+F267+F268+F271+F272</f>
        <v>220.04055</v>
      </c>
      <c r="G273" s="312">
        <f t="shared" si="17"/>
        <v>3533.1575000000016</v>
      </c>
      <c r="H273" s="312">
        <f>H262+H267+H268+H271+H272</f>
        <v>28819.842500000002</v>
      </c>
      <c r="I273" s="312">
        <f t="shared" si="17"/>
        <v>7373.2515700000004</v>
      </c>
      <c r="J273" s="127"/>
    </row>
    <row r="274" spans="1:10" ht="14.15" customHeight="1" x14ac:dyDescent="0.3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152</v>
      </c>
      <c r="D275" s="314"/>
      <c r="E275" s="314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153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108</v>
      </c>
      <c r="D279" s="152"/>
    </row>
    <row r="280" spans="1:10" ht="14.15" customHeight="1" x14ac:dyDescent="0.3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5" customHeight="1" x14ac:dyDescent="0.3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5" t="s">
        <v>6</v>
      </c>
      <c r="D284" s="296">
        <v>2363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0" t="s">
        <v>116</v>
      </c>
      <c r="D288" s="320"/>
      <c r="E288" s="320"/>
      <c r="F288" s="320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3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5" customHeight="1" x14ac:dyDescent="0.3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928.56393000000003</v>
      </c>
      <c r="G294" s="82">
        <f>D294-F294</f>
        <v>-149.56393000000003</v>
      </c>
      <c r="H294" s="25">
        <f>SUM(H295:H296)</f>
        <v>1023.43038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687.65275</f>
        <v>687.65274999999997</v>
      </c>
      <c r="G295" s="199"/>
      <c r="H295" s="198">
        <f>779.14308</f>
        <v>779.14308000000005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244.2873</f>
        <v>244.28729999999999</v>
      </c>
      <c r="I296" s="145"/>
      <c r="J296" s="127"/>
    </row>
    <row r="297" spans="1:10" ht="14.15" customHeight="1" x14ac:dyDescent="0.35">
      <c r="A297" s="223"/>
      <c r="B297" s="69"/>
      <c r="C297" s="291" t="s">
        <v>106</v>
      </c>
      <c r="D297" s="9">
        <v>779</v>
      </c>
      <c r="E297" s="25">
        <f>SUM(E298:E299)</f>
        <v>0</v>
      </c>
      <c r="F297" s="25">
        <f>SUM(F298:F299)</f>
        <v>646.33609999999999</v>
      </c>
      <c r="G297" s="82">
        <f>D297-F297</f>
        <v>132.66390000000001</v>
      </c>
      <c r="H297" s="25">
        <f>SUM(H298:H299)</f>
        <v>991.08674999999994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507.208</f>
        <v>507.20800000000003</v>
      </c>
      <c r="G298" s="94"/>
      <c r="H298" s="29">
        <f>767.36623</f>
        <v>767.36622999999997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8"/>
      <c r="E299" s="29">
        <f>0</f>
        <v>0</v>
      </c>
      <c r="F299" s="29">
        <f>139.1281</f>
        <v>139.12809999999999</v>
      </c>
      <c r="G299" s="105"/>
      <c r="H299" s="29">
        <f>223.72052</f>
        <v>223.72051999999999</v>
      </c>
      <c r="I299" s="145"/>
      <c r="J299" s="127"/>
    </row>
    <row r="300" spans="1:10" ht="14.15" customHeight="1" x14ac:dyDescent="0.35">
      <c r="A300" s="223"/>
      <c r="B300" s="69"/>
      <c r="C300" s="291" t="s">
        <v>107</v>
      </c>
      <c r="D300" s="9">
        <v>805</v>
      </c>
      <c r="E300" s="34">
        <f>SUM(E301:E302)</f>
        <v>43.330300000000001</v>
      </c>
      <c r="F300" s="34">
        <f>SUM(F301:F302)</f>
        <v>484.84949</v>
      </c>
      <c r="G300" s="82">
        <f>D300-F300</f>
        <v>320.15051</v>
      </c>
      <c r="H300" s="34">
        <f>SUM(H301:H302)</f>
        <v>616.09276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36.1715</f>
        <v>36.171500000000002</v>
      </c>
      <c r="F301" s="29">
        <f>349.56354</f>
        <v>349.56353999999999</v>
      </c>
      <c r="G301" s="94"/>
      <c r="H301" s="29">
        <f>414.08654</f>
        <v>414.08654000000001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8"/>
      <c r="E302" s="29">
        <f>7.1588</f>
        <v>7.1588000000000003</v>
      </c>
      <c r="F302" s="29">
        <f>135.28595</f>
        <v>135.28595000000001</v>
      </c>
      <c r="G302" s="105"/>
      <c r="H302" s="29">
        <f>202.00622</f>
        <v>202.00622000000001</v>
      </c>
      <c r="I302" s="145"/>
      <c r="J302" s="127"/>
    </row>
    <row r="303" spans="1:10" ht="14.15" customHeight="1" x14ac:dyDescent="0.3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10" t="s">
        <v>82</v>
      </c>
      <c r="D304" s="38">
        <f>D294+D297+D300</f>
        <v>2363</v>
      </c>
      <c r="E304" s="39">
        <f>E294+E297+E300+E303</f>
        <v>43.330300000000001</v>
      </c>
      <c r="F304" s="39">
        <f>F294+F297+F300+F303</f>
        <v>2059.7495199999998</v>
      </c>
      <c r="G304" s="40">
        <f>D304-F304</f>
        <v>303.25048000000015</v>
      </c>
      <c r="H304" s="39">
        <f>H294+H297+H300+H303</f>
        <v>2630.6098899999997</v>
      </c>
      <c r="I304" s="26"/>
      <c r="J304" s="127"/>
    </row>
    <row r="305" spans="1:10" ht="42" customHeight="1" x14ac:dyDescent="0.35">
      <c r="A305" s="223"/>
      <c r="B305" s="230"/>
      <c r="C305" s="322" t="s">
        <v>111</v>
      </c>
      <c r="D305" s="322"/>
      <c r="E305" s="322"/>
      <c r="F305" s="322"/>
      <c r="G305" s="322"/>
      <c r="H305" s="322"/>
      <c r="I305" s="322"/>
      <c r="J305" s="323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108</v>
      </c>
      <c r="D307" s="152"/>
    </row>
    <row r="308" spans="1:10" ht="15.65" customHeight="1" x14ac:dyDescent="0.3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9" customHeight="1" x14ac:dyDescent="0.35">
      <c r="A309" s="223"/>
      <c r="B309" s="69"/>
      <c r="C309" s="233" t="s">
        <v>123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124</v>
      </c>
      <c r="E311" s="212" t="s">
        <v>125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126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0" t="s">
        <v>154</v>
      </c>
      <c r="D316" s="320"/>
      <c r="E316" s="320"/>
      <c r="F316" s="320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3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75" customHeight="1" x14ac:dyDescent="0.35">
      <c r="A322" s="223"/>
      <c r="B322" s="69"/>
      <c r="C322" s="236" t="s">
        <v>132</v>
      </c>
      <c r="D322" s="237">
        <v>238</v>
      </c>
      <c r="E322" s="29">
        <f>17.07979</f>
        <v>17.079789999999999</v>
      </c>
      <c r="F322" s="29">
        <f>187.7934</f>
        <v>187.79339999999999</v>
      </c>
      <c r="G322" s="238">
        <f>D322-F322</f>
        <v>50.206600000000009</v>
      </c>
      <c r="H322" s="29">
        <f>80.3708399999998</f>
        <v>80.370839999999802</v>
      </c>
      <c r="I322" s="242"/>
      <c r="J322" s="127"/>
    </row>
    <row r="323" spans="1:10" ht="17.5" customHeight="1" x14ac:dyDescent="0.35">
      <c r="A323" s="223"/>
      <c r="B323" s="69"/>
      <c r="C323" s="239" t="s">
        <v>133</v>
      </c>
      <c r="D323" s="240">
        <v>21237</v>
      </c>
      <c r="E323" s="29">
        <f>9.25386</f>
        <v>9.2538599999999995</v>
      </c>
      <c r="F323" s="29">
        <f>292.661230000001</f>
        <v>292.66123000000101</v>
      </c>
      <c r="G323" s="241">
        <f>D323-F323</f>
        <v>20944.338769999998</v>
      </c>
      <c r="H323" s="29">
        <f>296.598050000001</f>
        <v>296.59805000000102</v>
      </c>
      <c r="I323" s="26"/>
      <c r="J323" s="127"/>
    </row>
    <row r="324" spans="1:10" ht="17.149999999999999" customHeight="1" x14ac:dyDescent="0.35">
      <c r="A324" s="223"/>
      <c r="B324" s="69"/>
      <c r="C324" s="310" t="s">
        <v>82</v>
      </c>
      <c r="D324" s="229">
        <f>D322+D323</f>
        <v>21475</v>
      </c>
      <c r="E324" s="39">
        <f>E323+E322</f>
        <v>26.333649999999999</v>
      </c>
      <c r="F324" s="39">
        <f>F323+F322</f>
        <v>480.45463000000098</v>
      </c>
      <c r="G324" s="39">
        <f>G323+G322</f>
        <v>20994.54537</v>
      </c>
      <c r="H324" s="39">
        <f>H323+H322</f>
        <v>376.96889000000084</v>
      </c>
      <c r="I324" s="26"/>
      <c r="J324" s="127"/>
    </row>
    <row r="325" spans="1:10" ht="22.5" customHeight="1" x14ac:dyDescent="0.35">
      <c r="A325" s="223"/>
      <c r="B325" s="69"/>
      <c r="C325" s="318" t="s">
        <v>155</v>
      </c>
      <c r="D325" s="318"/>
      <c r="E325" s="318"/>
      <c r="F325" s="318"/>
      <c r="G325" s="318"/>
      <c r="H325" s="318"/>
      <c r="I325" s="318"/>
      <c r="J325" s="319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108</v>
      </c>
      <c r="D328" s="152"/>
    </row>
    <row r="329" spans="1:10" ht="0" hidden="1" customHeight="1" x14ac:dyDescent="0.3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35">
      <c r="A330" s="223"/>
      <c r="B330" s="69"/>
      <c r="C330" s="233" t="s">
        <v>123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124</v>
      </c>
      <c r="E332" s="212" t="s">
        <v>125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126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17" t="s">
        <v>127</v>
      </c>
      <c r="D337" s="317"/>
      <c r="E337" s="317"/>
      <c r="F337" s="317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35">
      <c r="A342" s="223"/>
      <c r="B342" s="193"/>
      <c r="C342" s="19" t="s">
        <v>103</v>
      </c>
      <c r="D342" s="19" t="s">
        <v>1</v>
      </c>
      <c r="E342" s="250" t="s">
        <v>128</v>
      </c>
      <c r="F342" s="250" t="s">
        <v>129</v>
      </c>
      <c r="G342" s="250" t="s">
        <v>130</v>
      </c>
      <c r="H342" s="224" t="s">
        <v>131</v>
      </c>
      <c r="I342" s="251"/>
      <c r="J342" s="13"/>
    </row>
    <row r="343" spans="1:10" ht="0" hidden="1" customHeight="1" x14ac:dyDescent="0.35">
      <c r="A343" s="223"/>
      <c r="B343" s="69"/>
      <c r="C343" s="225" t="s">
        <v>132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91" t="s">
        <v>133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18" t="s">
        <v>134</v>
      </c>
      <c r="D346" s="318"/>
      <c r="E346" s="318"/>
      <c r="F346" s="318"/>
      <c r="G346" s="318"/>
      <c r="H346" s="318"/>
      <c r="I346" s="318"/>
      <c r="J346" s="319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21&amp;R25.05.2026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2026-05-26T09:25:35Z</dcterms:modified>
</cp:coreProperties>
</file>