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46B43237-7CBD-4005-8918-666015A8DB82}" xr6:coauthVersionLast="47" xr6:coauthVersionMax="47" xr10:uidLastSave="{00000000-0000-0000-0000-000000000000}"/>
  <bookViews>
    <workbookView xWindow="-90" yWindow="0" windowWidth="19380" windowHeight="2097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H119" i="1" s="1"/>
  <c r="G124" i="1"/>
  <c r="G125" i="1"/>
  <c r="H345" i="1"/>
  <c r="F345" i="1"/>
  <c r="E345" i="1"/>
  <c r="D345" i="1"/>
  <c r="G344" i="1"/>
  <c r="G343" i="1"/>
  <c r="G345" i="1" s="1"/>
  <c r="E336" i="1"/>
  <c r="D324" i="1"/>
  <c r="H323" i="1"/>
  <c r="H324" i="1" s="1"/>
  <c r="G323" i="1"/>
  <c r="F323" i="1"/>
  <c r="E323" i="1"/>
  <c r="H322" i="1"/>
  <c r="F322" i="1"/>
  <c r="G322" i="1" s="1"/>
  <c r="G324" i="1" s="1"/>
  <c r="E322" i="1"/>
  <c r="E315" i="1"/>
  <c r="D315" i="1"/>
  <c r="D304" i="1"/>
  <c r="H303" i="1"/>
  <c r="F303" i="1"/>
  <c r="G303" i="1" s="1"/>
  <c r="E303" i="1"/>
  <c r="H302" i="1"/>
  <c r="F302" i="1"/>
  <c r="F300" i="1" s="1"/>
  <c r="G300" i="1" s="1"/>
  <c r="E302" i="1"/>
  <c r="H301" i="1"/>
  <c r="F301" i="1"/>
  <c r="E301" i="1"/>
  <c r="E300" i="1" s="1"/>
  <c r="H299" i="1"/>
  <c r="F299" i="1"/>
  <c r="E299" i="1"/>
  <c r="E297" i="1" s="1"/>
  <c r="H298" i="1"/>
  <c r="F298" i="1"/>
  <c r="E298" i="1"/>
  <c r="H297" i="1"/>
  <c r="H296" i="1"/>
  <c r="F296" i="1"/>
  <c r="E296" i="1"/>
  <c r="H295" i="1"/>
  <c r="F295" i="1"/>
  <c r="E295" i="1"/>
  <c r="H294" i="1"/>
  <c r="I272" i="1"/>
  <c r="G272" i="1"/>
  <c r="H272" i="1" s="1"/>
  <c r="F272" i="1"/>
  <c r="I271" i="1"/>
  <c r="G271" i="1"/>
  <c r="H271" i="1" s="1"/>
  <c r="F271" i="1"/>
  <c r="I270" i="1"/>
  <c r="G270" i="1"/>
  <c r="F270" i="1"/>
  <c r="F268" i="1" s="1"/>
  <c r="I269" i="1"/>
  <c r="I268" i="1" s="1"/>
  <c r="G269" i="1"/>
  <c r="G268" i="1" s="1"/>
  <c r="H268" i="1" s="1"/>
  <c r="F269" i="1"/>
  <c r="I267" i="1"/>
  <c r="G267" i="1"/>
  <c r="H267" i="1" s="1"/>
  <c r="F267" i="1"/>
  <c r="I266" i="1"/>
  <c r="I262" i="1" s="1"/>
  <c r="I273" i="1" s="1"/>
  <c r="H266" i="1"/>
  <c r="G266" i="1"/>
  <c r="F266" i="1"/>
  <c r="F262" i="1" s="1"/>
  <c r="F273" i="1" s="1"/>
  <c r="I265" i="1"/>
  <c r="G265" i="1"/>
  <c r="F265" i="1"/>
  <c r="I264" i="1"/>
  <c r="G264" i="1"/>
  <c r="H264" i="1" s="1"/>
  <c r="F264" i="1"/>
  <c r="I263" i="1"/>
  <c r="G263" i="1"/>
  <c r="H263" i="1" s="1"/>
  <c r="F263" i="1"/>
  <c r="E262" i="1"/>
  <c r="E273" i="1" s="1"/>
  <c r="D262" i="1"/>
  <c r="D273" i="1" s="1"/>
  <c r="H254" i="1"/>
  <c r="F254" i="1"/>
  <c r="D241" i="1"/>
  <c r="H240" i="1"/>
  <c r="F240" i="1"/>
  <c r="G240" i="1" s="1"/>
  <c r="E240" i="1"/>
  <c r="H239" i="1"/>
  <c r="F239" i="1"/>
  <c r="G239" i="1" s="1"/>
  <c r="E239" i="1"/>
  <c r="H238" i="1"/>
  <c r="F238" i="1"/>
  <c r="G238" i="1" s="1"/>
  <c r="E238" i="1"/>
  <c r="H237" i="1"/>
  <c r="H241" i="1" s="1"/>
  <c r="F237" i="1"/>
  <c r="G237" i="1" s="1"/>
  <c r="E237" i="1"/>
  <c r="E241" i="1" s="1"/>
  <c r="D219" i="1"/>
  <c r="H218" i="1"/>
  <c r="F218" i="1"/>
  <c r="G218" i="1" s="1"/>
  <c r="E218" i="1"/>
  <c r="H217" i="1"/>
  <c r="F217" i="1"/>
  <c r="E217" i="1"/>
  <c r="H216" i="1"/>
  <c r="H215" i="1" s="1"/>
  <c r="F216" i="1"/>
  <c r="E216" i="1"/>
  <c r="D206" i="1"/>
  <c r="H205" i="1"/>
  <c r="F205" i="1"/>
  <c r="G205" i="1" s="1"/>
  <c r="E205" i="1"/>
  <c r="H204" i="1"/>
  <c r="F204" i="1"/>
  <c r="F202" i="1" s="1"/>
  <c r="E204" i="1"/>
  <c r="E202" i="1" s="1"/>
  <c r="E206" i="1" s="1"/>
  <c r="H203" i="1"/>
  <c r="F203" i="1"/>
  <c r="E203" i="1"/>
  <c r="F192" i="1"/>
  <c r="E192" i="1"/>
  <c r="D192" i="1"/>
  <c r="I191" i="1"/>
  <c r="H191" i="1"/>
  <c r="G191" i="1"/>
  <c r="F191" i="1"/>
  <c r="I190" i="1"/>
  <c r="G190" i="1"/>
  <c r="H190" i="1" s="1"/>
  <c r="F190" i="1"/>
  <c r="I189" i="1"/>
  <c r="I192" i="1" s="1"/>
  <c r="H189" i="1"/>
  <c r="G189" i="1"/>
  <c r="F189" i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F164" i="1"/>
  <c r="E164" i="1"/>
  <c r="H162" i="1"/>
  <c r="G162" i="1"/>
  <c r="F162" i="1"/>
  <c r="E162" i="1"/>
  <c r="H161" i="1"/>
  <c r="F161" i="1"/>
  <c r="E161" i="1"/>
  <c r="H160" i="1"/>
  <c r="F160" i="1"/>
  <c r="E160" i="1"/>
  <c r="I135" i="1"/>
  <c r="G135" i="1"/>
  <c r="H135" i="1" s="1"/>
  <c r="F135" i="1"/>
  <c r="I134" i="1"/>
  <c r="G134" i="1"/>
  <c r="H134" i="1" s="1"/>
  <c r="F134" i="1"/>
  <c r="H133" i="1"/>
  <c r="I132" i="1"/>
  <c r="G132" i="1"/>
  <c r="H132" i="1" s="1"/>
  <c r="F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I128" i="1"/>
  <c r="G128" i="1"/>
  <c r="H128" i="1" s="1"/>
  <c r="H126" i="1" s="1"/>
  <c r="F128" i="1"/>
  <c r="I127" i="1"/>
  <c r="I126" i="1" s="1"/>
  <c r="H127" i="1"/>
  <c r="G127" i="1"/>
  <c r="F127" i="1"/>
  <c r="F126" i="1" s="1"/>
  <c r="E126" i="1"/>
  <c r="D126" i="1"/>
  <c r="I125" i="1"/>
  <c r="H125" i="1"/>
  <c r="F125" i="1"/>
  <c r="I124" i="1"/>
  <c r="H124" i="1"/>
  <c r="F124" i="1"/>
  <c r="I123" i="1"/>
  <c r="I121" i="1" s="1"/>
  <c r="I120" i="1" s="1"/>
  <c r="H123" i="1"/>
  <c r="G123" i="1"/>
  <c r="F123" i="1"/>
  <c r="I122" i="1"/>
  <c r="G122" i="1"/>
  <c r="H122" i="1" s="1"/>
  <c r="F122" i="1"/>
  <c r="E121" i="1"/>
  <c r="E120" i="1" s="1"/>
  <c r="D121" i="1"/>
  <c r="D120" i="1"/>
  <c r="I119" i="1"/>
  <c r="F119" i="1"/>
  <c r="I118" i="1"/>
  <c r="G118" i="1"/>
  <c r="H118" i="1" s="1"/>
  <c r="F118" i="1"/>
  <c r="I117" i="1"/>
  <c r="G117" i="1"/>
  <c r="H117" i="1" s="1"/>
  <c r="F117" i="1"/>
  <c r="I116" i="1"/>
  <c r="I115" i="1" s="1"/>
  <c r="G116" i="1"/>
  <c r="F116" i="1"/>
  <c r="F115" i="1" s="1"/>
  <c r="E115" i="1"/>
  <c r="E137" i="1" s="1"/>
  <c r="D115" i="1"/>
  <c r="C113" i="1"/>
  <c r="I93" i="1"/>
  <c r="G93" i="1"/>
  <c r="H93" i="1" s="1"/>
  <c r="F93" i="1"/>
  <c r="I92" i="1"/>
  <c r="G92" i="1"/>
  <c r="H92" i="1" s="1"/>
  <c r="F92" i="1"/>
  <c r="I91" i="1"/>
  <c r="G91" i="1"/>
  <c r="H91" i="1" s="1"/>
  <c r="F91" i="1"/>
  <c r="I90" i="1"/>
  <c r="G90" i="1"/>
  <c r="H90" i="1" s="1"/>
  <c r="F90" i="1"/>
  <c r="I89" i="1"/>
  <c r="G89" i="1"/>
  <c r="H89" i="1" s="1"/>
  <c r="F89" i="1"/>
  <c r="I88" i="1"/>
  <c r="G88" i="1"/>
  <c r="H88" i="1" s="1"/>
  <c r="F88" i="1"/>
  <c r="I87" i="1"/>
  <c r="G87" i="1"/>
  <c r="H87" i="1" s="1"/>
  <c r="F87" i="1"/>
  <c r="I86" i="1"/>
  <c r="G86" i="1"/>
  <c r="H86" i="1" s="1"/>
  <c r="F86" i="1"/>
  <c r="I85" i="1"/>
  <c r="G85" i="1"/>
  <c r="H85" i="1" s="1"/>
  <c r="F85" i="1"/>
  <c r="I84" i="1"/>
  <c r="I83" i="1" s="1"/>
  <c r="I82" i="1" s="1"/>
  <c r="G84" i="1"/>
  <c r="H84" i="1" s="1"/>
  <c r="F84" i="1"/>
  <c r="E83" i="1"/>
  <c r="D83" i="1"/>
  <c r="E82" i="1"/>
  <c r="D82" i="1"/>
  <c r="I81" i="1"/>
  <c r="G81" i="1"/>
  <c r="H81" i="1" s="1"/>
  <c r="F81" i="1"/>
  <c r="I80" i="1"/>
  <c r="G80" i="1"/>
  <c r="H80" i="1" s="1"/>
  <c r="F80" i="1"/>
  <c r="F79" i="1"/>
  <c r="E79" i="1"/>
  <c r="E94" i="1" s="1"/>
  <c r="D79" i="1"/>
  <c r="C76" i="1"/>
  <c r="H72" i="1"/>
  <c r="F72" i="1"/>
  <c r="D72" i="1"/>
  <c r="H58" i="1"/>
  <c r="H57" i="1"/>
  <c r="I52" i="1"/>
  <c r="I31" i="1" s="1"/>
  <c r="G52" i="1"/>
  <c r="H52" i="1" s="1"/>
  <c r="F52" i="1"/>
  <c r="F31" i="1" s="1"/>
  <c r="I41" i="1"/>
  <c r="G41" i="1"/>
  <c r="H41" i="1" s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I33" i="1" s="1"/>
  <c r="G35" i="1"/>
  <c r="H35" i="1" s="1"/>
  <c r="F35" i="1"/>
  <c r="I34" i="1"/>
  <c r="G34" i="1"/>
  <c r="H34" i="1" s="1"/>
  <c r="F34" i="1"/>
  <c r="E33" i="1"/>
  <c r="E25" i="1" s="1"/>
  <c r="D33" i="1"/>
  <c r="I32" i="1"/>
  <c r="G32" i="1"/>
  <c r="H32" i="1" s="1"/>
  <c r="F32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G27" i="1"/>
  <c r="H27" i="1" s="1"/>
  <c r="F27" i="1"/>
  <c r="E26" i="1"/>
  <c r="D26" i="1"/>
  <c r="D25" i="1" s="1"/>
  <c r="I24" i="1"/>
  <c r="G24" i="1"/>
  <c r="F24" i="1"/>
  <c r="I23" i="1"/>
  <c r="I22" i="1" s="1"/>
  <c r="G23" i="1"/>
  <c r="H23" i="1" s="1"/>
  <c r="F23" i="1"/>
  <c r="E22" i="1"/>
  <c r="D22" i="1"/>
  <c r="H16" i="1"/>
  <c r="F16" i="1"/>
  <c r="D16" i="1"/>
  <c r="G115" i="1" l="1"/>
  <c r="G22" i="1"/>
  <c r="F33" i="1"/>
  <c r="F25" i="1" s="1"/>
  <c r="F42" i="1" s="1"/>
  <c r="H116" i="1"/>
  <c r="F215" i="1"/>
  <c r="G215" i="1" s="1"/>
  <c r="I137" i="1"/>
  <c r="H202" i="1"/>
  <c r="H206" i="1" s="1"/>
  <c r="H219" i="1"/>
  <c r="E324" i="1"/>
  <c r="D42" i="1"/>
  <c r="I79" i="1"/>
  <c r="I94" i="1" s="1"/>
  <c r="G126" i="1"/>
  <c r="E215" i="1"/>
  <c r="E219" i="1" s="1"/>
  <c r="F241" i="1"/>
  <c r="G241" i="1" s="1"/>
  <c r="G262" i="1"/>
  <c r="F324" i="1"/>
  <c r="I26" i="1"/>
  <c r="I25" i="1" s="1"/>
  <c r="I42" i="1" s="1"/>
  <c r="G83" i="1"/>
  <c r="G82" i="1" s="1"/>
  <c r="F121" i="1"/>
  <c r="F120" i="1" s="1"/>
  <c r="E163" i="1"/>
  <c r="E294" i="1"/>
  <c r="E304" i="1" s="1"/>
  <c r="G121" i="1"/>
  <c r="G120" i="1" s="1"/>
  <c r="G137" i="1" s="1"/>
  <c r="E42" i="1"/>
  <c r="F22" i="1"/>
  <c r="F26" i="1"/>
  <c r="H79" i="1"/>
  <c r="D137" i="1"/>
  <c r="F163" i="1"/>
  <c r="G163" i="1" s="1"/>
  <c r="F294" i="1"/>
  <c r="F304" i="1" s="1"/>
  <c r="G304" i="1" s="1"/>
  <c r="F297" i="1"/>
  <c r="G297" i="1" s="1"/>
  <c r="H300" i="1"/>
  <c r="D94" i="1"/>
  <c r="F83" i="1"/>
  <c r="F82" i="1" s="1"/>
  <c r="F94" i="1" s="1"/>
  <c r="H163" i="1"/>
  <c r="G192" i="1"/>
  <c r="H121" i="1"/>
  <c r="H120" i="1" s="1"/>
  <c r="H115" i="1"/>
  <c r="H137" i="1" s="1"/>
  <c r="E169" i="1"/>
  <c r="G202" i="1"/>
  <c r="F206" i="1"/>
  <c r="G206" i="1" s="1"/>
  <c r="H192" i="1"/>
  <c r="F219" i="1"/>
  <c r="G219" i="1" s="1"/>
  <c r="F169" i="1"/>
  <c r="G169" i="1" s="1"/>
  <c r="G273" i="1"/>
  <c r="H304" i="1"/>
  <c r="H83" i="1"/>
  <c r="H82" i="1" s="1"/>
  <c r="H94" i="1" s="1"/>
  <c r="F137" i="1"/>
  <c r="H169" i="1"/>
  <c r="G79" i="1"/>
  <c r="G94" i="1" s="1"/>
  <c r="H24" i="1"/>
  <c r="H22" i="1" s="1"/>
  <c r="H265" i="1"/>
  <c r="H262" i="1" s="1"/>
  <c r="H273" i="1" s="1"/>
  <c r="G31" i="1"/>
  <c r="H31" i="1" s="1"/>
  <c r="H26" i="1" s="1"/>
  <c r="G33" i="1"/>
  <c r="G160" i="1"/>
  <c r="G294" i="1" l="1"/>
  <c r="G26" i="1"/>
  <c r="G25" i="1"/>
  <c r="G42" i="1" s="1"/>
  <c r="H33" i="1"/>
  <c r="H25" i="1" s="1"/>
  <c r="H42" i="1" s="1"/>
</calcChain>
</file>

<file path=xl/sharedStrings.xml><?xml version="1.0" encoding="utf-8"?>
<sst xmlns="http://schemas.openxmlformats.org/spreadsheetml/2006/main" count="392" uniqueCount="166">
  <si>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</si>
  <si>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</si>
  <si>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</si>
  <si>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</si>
  <si>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</si>
  <si>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</si>
  <si>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</si>
  <si>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</si>
  <si>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</si>
  <si>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</si>
  <si>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</si>
  <si>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</si>
  <si>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</si>
  <si>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</si>
  <si>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</si>
  <si>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</si>
  <si>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</si>
  <si>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</si>
  <si>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</si>
  <si>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</si>
  <si>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</si>
  <si>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</si>
  <si>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</si>
  <si>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</si>
  <si>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</si>
  <si>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</si>
  <si>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</si>
  <si>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</si>
  <si>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</si>
  <si>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</si>
  <si>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</si>
  <si>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</si>
  <si>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</si>
  <si>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</si>
  <si>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</si>
  <si>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</si>
  <si>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</si>
  <si>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</si>
  <si>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</si>
  <si>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</si>
  <si>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</si>
  <si>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</si>
  <si>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</si>
  <si>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</si>
  <si>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</si>
  <si>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</si>
  <si>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</si>
  <si>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</si>
  <si>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</si>
  <si>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</si>
  <si>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</si>
  <si>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</si>
  <si>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</si>
  <si>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</si>
  <si>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</si>
  <si>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</si>
  <si>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</si>
  <si>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</si>
  <si>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</si>
  <si>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</si>
  <si>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</si>
  <si>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</si>
  <si>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</si>
  <si>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</si>
  <si>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</si>
  <si>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</si>
  <si>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</si>
  <si>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</si>
  <si>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</si>
  <si>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</si>
  <si>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</si>
  <si>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</si>
  <si>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</si>
  <si>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</si>
  <si>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</si>
  <si>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</si>
  <si>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</si>
  <si>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</si>
  <si>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</si>
  <si>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</si>
  <si>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</si>
  <si>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</si>
  <si>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</si>
  <si>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</si>
  <si>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</si>
  <si>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</si>
  <si>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</si>
  <si>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</si>
  <si>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</si>
  <si>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</si>
  <si>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</si>
  <si>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</si>
  <si>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</si>
  <si>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</si>
  <si>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</si>
  <si>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</si>
  <si>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</si>
  <si>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</si>
  <si>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</si>
  <si>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</si>
  <si>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</si>
  <si>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</si>
  <si>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</si>
  <si>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</si>
  <si>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</si>
  <si>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</si>
  <si>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</si>
  <si>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</si>
  <si>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</si>
  <si>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</si>
  <si>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</si>
  <si>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</si>
  <si>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</si>
  <si>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</si>
  <si>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</si>
  <si>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</si>
  <si>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</si>
  <si>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</si>
  <si>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</si>
  <si>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</si>
  <si>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</si>
  <si>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</si>
  <si>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</si>
  <si>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</si>
  <si>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</si>
  <si>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</si>
  <si>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</si>
  <si>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</si>
  <si>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</si>
  <si>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</si>
  <si>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</si>
  <si>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</si>
  <si>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</si>
  <si>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</si>
  <si>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</si>
  <si>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</si>
  <si>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</si>
  <si>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</si>
  <si>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</si>
  <si>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</si>
  <si>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</si>
  <si>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</si>
  <si>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</si>
  <si>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</si>
  <si>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</si>
  <si>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</si>
  <si>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</si>
  <si>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</si>
  <si>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</si>
  <si>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</si>
  <si>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</si>
  <si>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</si>
  <si>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</si>
  <si>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</si>
  <si>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</si>
  <si>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</si>
  <si>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</si>
  <si>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944 tonn er overført fra ubenyttet tredjelandskvoter til norsk totalkvote, hvorav 1 020 tonn til torsketrål, 308 til konvensjonelle havfiskefartøy, 554 tonn til lukket gruppe og 62 tonn til åpen gruppe </t>
    </r>
  </si>
  <si>
    <t>2 Registrert rekreasjonsfiske utgjør 47 tonn, men det legges til grunn at hele avsetningen tas</t>
  </si>
  <si>
    <t>4 Registrert rekreasjonsfiske utgjør 338 tonn, men det legges til grunn at hele avsetningen tas</t>
  </si>
  <si>
    <t>3 Registrert rekreasjonsfiske utgjør 783 tonn, men det legges til grunn at hele avsetningen tas</t>
  </si>
  <si>
    <t>FANGST UKE 29</t>
  </si>
  <si>
    <t>FANGST T.O.M UKE 29</t>
  </si>
  <si>
    <t>RESTKVOTER UKE 29</t>
  </si>
  <si>
    <t>FANGST T.O.M UKE 29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</si>
  <si>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1176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</si>
</sst>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261" zoomScale="115" zoomScaleNormal="115" zoomScaleSheetLayoutView="100" zoomScalePageLayoutView="85" workbookViewId="0">
      <selection activeCell="F278" sqref="F278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31" t="s">
        <v>138</v>
      </c>
      <c r="C2" s="332"/>
      <c r="D2" s="332"/>
      <c r="E2" s="332"/>
      <c r="F2" s="332"/>
      <c r="G2" s="332"/>
      <c r="H2" s="332"/>
      <c r="I2" s="332"/>
      <c r="J2" s="333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f>E23+E24</f>
        <v>33432</v>
      </c>
      <c r="F22" s="27">
        <f t="shared" ref="F22:I22" si="0">F24+F23</f>
        <v>526.73699999999997</v>
      </c>
      <c r="G22" s="27">
        <f t="shared" si="0"/>
        <v>16107.31862</v>
      </c>
      <c r="H22" s="10">
        <f>H24+H23</f>
        <v>17324.681379999998</v>
      </c>
      <c r="I22" s="10">
        <f t="shared" si="0"/>
        <v>20777.161059999999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>
        <v>32689</v>
      </c>
      <c r="F23" s="22">
        <f>526.737</f>
        <v>526.73699999999997</v>
      </c>
      <c r="G23" s="22">
        <f>15705.87608</f>
        <v>15705.87608</v>
      </c>
      <c r="H23" s="22">
        <f>E23-G23</f>
        <v>16983.123919999998</v>
      </c>
      <c r="I23" s="22">
        <f>20407.22941</f>
        <v>20407.22941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>
        <v>743</v>
      </c>
      <c r="F24" s="165">
        <f>0</f>
        <v>0</v>
      </c>
      <c r="G24" s="22">
        <f>401.44254</f>
        <v>401.44254000000001</v>
      </c>
      <c r="H24" s="22">
        <f>E24-G24</f>
        <v>341.55745999999999</v>
      </c>
      <c r="I24" s="22">
        <f>369.93165</f>
        <v>369.93164999999999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f>E26+E32+E33</f>
        <v>98042</v>
      </c>
      <c r="F25" s="27">
        <f t="shared" ref="F25:I25" si="1">F33+F32+F26</f>
        <v>450.89699999999999</v>
      </c>
      <c r="G25" s="10">
        <f t="shared" si="1"/>
        <v>82859.044529999897</v>
      </c>
      <c r="H25" s="10">
        <f>H33+H32+H26</f>
        <v>15182.955470000103</v>
      </c>
      <c r="I25" s="10">
        <f t="shared" si="1"/>
        <v>100679.9448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f>E27+E28+E29+E30+E31</f>
        <v>77858</v>
      </c>
      <c r="F26" s="129">
        <f>F27+F28+F29+F30+F31</f>
        <v>299.18304999999998</v>
      </c>
      <c r="G26" s="129">
        <f>G27+G28+G29+G30+G31</f>
        <v>67394.956510000004</v>
      </c>
      <c r="H26" s="129">
        <f>H27+H28+H29+H30+H31</f>
        <v>10463.043490000002</v>
      </c>
      <c r="I26" s="129">
        <f t="shared" ref="I26" si="2">I27+I28+I29+I30+I31</f>
        <v>80792.61881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>
        <v>20868</v>
      </c>
      <c r="F27" s="209">
        <f>29.67173 - F53</f>
        <v>29.67173</v>
      </c>
      <c r="G27" s="123">
        <f>19340.12975 - G53</f>
        <v>19340.12975</v>
      </c>
      <c r="H27" s="123">
        <f t="shared" ref="H27:H41" si="3">E27-G27</f>
        <v>1527.8702499999999</v>
      </c>
      <c r="I27" s="123">
        <f>22625.57889 - I53</f>
        <v>22625.578890000001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>
        <v>19720</v>
      </c>
      <c r="F28" s="123">
        <f>67.94108 - F54</f>
        <v>67.941079999999999</v>
      </c>
      <c r="G28" s="123">
        <f>18740.47204 - G54</f>
        <v>18740.472040000001</v>
      </c>
      <c r="H28" s="123">
        <f t="shared" si="3"/>
        <v>979.52795999999944</v>
      </c>
      <c r="I28" s="123">
        <f>22048.78472 - I54</f>
        <v>22048.78472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>
        <v>17625</v>
      </c>
      <c r="F29" s="123">
        <f>126.4055 - F55</f>
        <v>126.4055</v>
      </c>
      <c r="G29" s="123">
        <f>16554.24402 - G55</f>
        <v>16554.244019999998</v>
      </c>
      <c r="H29" s="123">
        <f t="shared" si="3"/>
        <v>1070.7559800000017</v>
      </c>
      <c r="I29" s="123">
        <f>21065.1165 - I55</f>
        <v>21065.1165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>
        <v>12954</v>
      </c>
      <c r="F30" s="123">
        <f>75.16474 - F56</f>
        <v>75.164739999999995</v>
      </c>
      <c r="G30" s="123">
        <f>12760.1107 - G56</f>
        <v>12760.110699999999</v>
      </c>
      <c r="H30" s="123">
        <f t="shared" si="3"/>
        <v>193.88930000000073</v>
      </c>
      <c r="I30" s="123">
        <f>15053.1387 - I56</f>
        <v>15053.1387</v>
      </c>
      <c r="J30" s="63"/>
    </row>
    <row r="31" spans="1:10" ht="14.15" customHeight="1" x14ac:dyDescent="0.35">
      <c r="A31" s="192"/>
      <c r="B31" s="176"/>
      <c r="C31" s="60" t="s">
        <v>136</v>
      </c>
      <c r="D31" s="61">
        <v>7085</v>
      </c>
      <c r="E31" s="61">
        <v>6691</v>
      </c>
      <c r="F31" s="123">
        <f>F52</f>
        <v>0</v>
      </c>
      <c r="G31" s="123">
        <f>G52</f>
        <v>0</v>
      </c>
      <c r="H31" s="123">
        <f t="shared" si="3"/>
        <v>6691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>
        <v>10907</v>
      </c>
      <c r="F32" s="129">
        <f>99.02082</f>
        <v>99.020820000000001</v>
      </c>
      <c r="G32" s="129">
        <f>5810.37393</f>
        <v>5810.3739299999997</v>
      </c>
      <c r="H32" s="129">
        <f t="shared" si="3"/>
        <v>5096.6260700000003</v>
      </c>
      <c r="I32" s="129">
        <f>8899.85313</f>
        <v>8899.8531299999995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f>E34+E35</f>
        <v>9277</v>
      </c>
      <c r="F33" s="129">
        <f>F34+F35</f>
        <v>52.693129999999996</v>
      </c>
      <c r="G33" s="129">
        <f>G34+G35</f>
        <v>9653.7140899998994</v>
      </c>
      <c r="H33" s="129">
        <f t="shared" si="3"/>
        <v>-376.71408999989944</v>
      </c>
      <c r="I33" s="129">
        <f>I34+I35</f>
        <v>10987.47286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>
        <v>8412</v>
      </c>
      <c r="F34" s="123">
        <f>52.69313 - F57 - F58</f>
        <v>52.693129999999996</v>
      </c>
      <c r="G34" s="129">
        <f>12296.7140899999 - G57 - G58</f>
        <v>9653.7140899998994</v>
      </c>
      <c r="H34" s="123">
        <f t="shared" si="3"/>
        <v>-1241.7140899998994</v>
      </c>
      <c r="I34" s="123">
        <f>12928.47286 - I57 - I58</f>
        <v>10987.47286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>
        <v>500</v>
      </c>
      <c r="F36" s="136">
        <f>0</f>
        <v>0</v>
      </c>
      <c r="G36" s="136">
        <f>478.1416</f>
        <v>478.14159999999998</v>
      </c>
      <c r="H36" s="136">
        <f t="shared" si="3"/>
        <v>21.858400000000017</v>
      </c>
      <c r="I36" s="136">
        <f>280.2564</f>
        <v>280.25639999999999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>
        <v>880</v>
      </c>
      <c r="F37" s="95">
        <f>6.3198</f>
        <v>6.3197999999999999</v>
      </c>
      <c r="G37" s="95">
        <f>556.58815</f>
        <v>556.58815000000004</v>
      </c>
      <c r="H37" s="95">
        <f t="shared" si="3"/>
        <v>323.41184999999996</v>
      </c>
      <c r="I37" s="95">
        <f>566.67631</f>
        <v>566.67630999999994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0</v>
      </c>
      <c r="G38" s="95">
        <f>G58</f>
        <v>2643</v>
      </c>
      <c r="H38" s="95">
        <f t="shared" si="3"/>
        <v>357</v>
      </c>
      <c r="I38" s="95">
        <f>I58</f>
        <v>1941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>
        <v>7000</v>
      </c>
      <c r="F39" s="95">
        <f>23.79135</f>
        <v>23.791350000000001</v>
      </c>
      <c r="G39" s="95">
        <f>E39</f>
        <v>7000</v>
      </c>
      <c r="H39" s="95">
        <f t="shared" si="3"/>
        <v>0</v>
      </c>
      <c r="I39" s="95">
        <f>E39</f>
        <v>7000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>
        <v>450</v>
      </c>
      <c r="F40" s="95">
        <f>0.25386</f>
        <v>0.25385999999999997</v>
      </c>
      <c r="G40" s="95">
        <f>394.84951</f>
        <v>394.84951000000001</v>
      </c>
      <c r="H40" s="95">
        <f t="shared" si="3"/>
        <v>55.150489999999991</v>
      </c>
      <c r="I40" s="95">
        <f>369.50198</f>
        <v>369.50198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</f>
        <v>0</v>
      </c>
      <c r="G41" s="136">
        <f>51.74098</f>
        <v>51.74098</v>
      </c>
      <c r="H41" s="136">
        <f t="shared" si="3"/>
        <v>-51.74098</v>
      </c>
      <c r="I41" s="136">
        <f>66.51518</f>
        <v>66.515180000000001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4">F22+F25+F36+F37+F38+F39+F40+F41</f>
        <v>1007.99901</v>
      </c>
      <c r="G42" s="73">
        <f t="shared" si="4"/>
        <v>110090.6833899999</v>
      </c>
      <c r="H42" s="73">
        <f>H22+H25+H36+H37+H38+H39+H40+H41</f>
        <v>33213.316610000096</v>
      </c>
      <c r="I42" s="73">
        <f t="shared" si="4"/>
        <v>131681.05572999996</v>
      </c>
      <c r="J42" s="271"/>
    </row>
    <row r="43" spans="1:10" ht="14.15" customHeight="1" x14ac:dyDescent="0.35">
      <c r="A43" s="101"/>
      <c r="B43" s="24"/>
      <c r="C43" s="74" t="s">
        <v>139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135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140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24" t="s">
        <v>137</v>
      </c>
      <c r="D49" s="324"/>
      <c r="E49" s="324"/>
      <c r="F49" s="324"/>
      <c r="G49" s="324"/>
      <c r="H49" s="324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25">
        <v>7085</v>
      </c>
      <c r="E52" s="325">
        <v>6691</v>
      </c>
      <c r="F52" s="10">
        <f>F56+F55+F54+F53</f>
        <v>0</v>
      </c>
      <c r="G52" s="10">
        <f>G56+G55+G54+G53</f>
        <v>0</v>
      </c>
      <c r="H52" s="325">
        <f>E52-G52</f>
        <v>6691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26"/>
      <c r="E53" s="326"/>
      <c r="F53" s="123"/>
      <c r="G53" s="123"/>
      <c r="H53" s="326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26"/>
      <c r="E54" s="326"/>
      <c r="F54" s="123"/>
      <c r="G54" s="123"/>
      <c r="H54" s="326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26"/>
      <c r="E55" s="326"/>
      <c r="F55" s="123"/>
      <c r="G55" s="123"/>
      <c r="H55" s="326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27"/>
      <c r="E56" s="327"/>
      <c r="F56" s="186"/>
      <c r="G56" s="186"/>
      <c r="H56" s="327"/>
      <c r="I56" s="186"/>
      <c r="J56" s="117"/>
    </row>
    <row r="57" spans="1:10" ht="14.15" customHeight="1" x14ac:dyDescent="0.35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E57-G57</f>
        <v>865</v>
      </c>
      <c r="I57" s="92"/>
      <c r="J57" s="271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/>
      <c r="G58" s="136">
        <v>2643</v>
      </c>
      <c r="H58" s="136">
        <f>E58-G58</f>
        <v>357</v>
      </c>
      <c r="I58" s="136">
        <v>1941</v>
      </c>
      <c r="J58" s="117"/>
    </row>
    <row r="59" spans="1:10" ht="14.15" customHeight="1" x14ac:dyDescent="0.35">
      <c r="A59" s="101"/>
      <c r="B59" s="24"/>
      <c r="C59" s="74" t="s">
        <v>141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35">
      <c r="B69" s="281"/>
      <c r="C69" s="110" t="s">
        <v>79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 t="s">
        <v>157</v>
      </c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29899</v>
      </c>
      <c r="F79" s="10">
        <f t="shared" ref="F79:I79" si="5">F81+F80</f>
        <v>174.1292</v>
      </c>
      <c r="G79" s="10">
        <f t="shared" si="5"/>
        <v>22800.535830000001</v>
      </c>
      <c r="H79" s="10">
        <f>H81+H80</f>
        <v>7098.4641699999993</v>
      </c>
      <c r="I79" s="10">
        <f t="shared" si="5"/>
        <v>19580.102949999997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>
        <v>29143</v>
      </c>
      <c r="F80" s="22">
        <f>174.1292</f>
        <v>174.1292</v>
      </c>
      <c r="G80" s="22">
        <f>22249.8813</f>
        <v>22249.881300000001</v>
      </c>
      <c r="H80" s="22">
        <f>E80-G80</f>
        <v>6893.1186999999991</v>
      </c>
      <c r="I80" s="22">
        <f>19143.62593</f>
        <v>19143.625929999998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>
        <v>756</v>
      </c>
      <c r="F81" s="48">
        <f>0</f>
        <v>0</v>
      </c>
      <c r="G81" s="48">
        <f>550.65453</f>
        <v>550.65453000000002</v>
      </c>
      <c r="H81" s="48">
        <f>E81-G81</f>
        <v>205.34546999999998</v>
      </c>
      <c r="I81" s="48">
        <f>436.47702</f>
        <v>436.47701999999998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51672</v>
      </c>
      <c r="F82" s="10">
        <f t="shared" ref="F82:I82" si="6">F83+F88+F89</f>
        <v>903.01323000000002</v>
      </c>
      <c r="G82" s="10">
        <f t="shared" si="6"/>
        <v>27492.98555999995</v>
      </c>
      <c r="H82" s="10">
        <f>H83+H88+H89</f>
        <v>24179.01444000005</v>
      </c>
      <c r="I82" s="10">
        <f t="shared" si="6"/>
        <v>27108.394689999976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38016</v>
      </c>
      <c r="F83" s="129">
        <f t="shared" ref="F83:I83" si="7">F84+F85+F86+F87</f>
        <v>646.84441000000004</v>
      </c>
      <c r="G83" s="129">
        <f t="shared" si="7"/>
        <v>21472.031639999961</v>
      </c>
      <c r="H83" s="129">
        <f>H84+H85+H86+H87</f>
        <v>16543.968360000039</v>
      </c>
      <c r="I83" s="129">
        <f t="shared" si="7"/>
        <v>21321.051479999958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>
        <v>10530</v>
      </c>
      <c r="F84" s="123">
        <f>20.84146</f>
        <v>20.841460000000001</v>
      </c>
      <c r="G84" s="123">
        <f>2818.07601999998</f>
        <v>2818.07601999998</v>
      </c>
      <c r="H84" s="123">
        <f t="shared" ref="H84:H93" si="8">E84-G84</f>
        <v>7711.9239800000196</v>
      </c>
      <c r="I84" s="123">
        <f>2984.63732999997</f>
        <v>2984.63732999997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>
        <v>10962</v>
      </c>
      <c r="F85" s="123">
        <f>89.8437</f>
        <v>89.843699999999998</v>
      </c>
      <c r="G85" s="123">
        <f>6647.10371999999</f>
        <v>6647.1037199999901</v>
      </c>
      <c r="H85" s="123">
        <f t="shared" si="8"/>
        <v>4314.8962800000099</v>
      </c>
      <c r="I85" s="123">
        <f>5645.76651999998</f>
        <v>5645.7665199999801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>
        <v>9908</v>
      </c>
      <c r="F86" s="123">
        <f>235.33897</f>
        <v>235.33896999999999</v>
      </c>
      <c r="G86" s="123">
        <f>6291.06453999999</f>
        <v>6291.0645399999903</v>
      </c>
      <c r="H86" s="123">
        <f t="shared" si="8"/>
        <v>3616.9354600000097</v>
      </c>
      <c r="I86" s="123">
        <f>6805.46997</f>
        <v>6805.4699700000001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>
        <v>6616</v>
      </c>
      <c r="F87" s="123">
        <f>300.82028</f>
        <v>300.82028000000003</v>
      </c>
      <c r="G87" s="123">
        <f>5715.78736</f>
        <v>5715.7873600000003</v>
      </c>
      <c r="H87" s="123">
        <f t="shared" si="8"/>
        <v>900.21263999999974</v>
      </c>
      <c r="I87" s="123">
        <f>5885.17766000001</f>
        <v>5885.1776600000103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>
        <v>9513</v>
      </c>
      <c r="F88" s="129">
        <f>235.9518</f>
        <v>235.95179999999999</v>
      </c>
      <c r="G88" s="129">
        <f>4601.14978</f>
        <v>4601.1497799999997</v>
      </c>
      <c r="H88" s="129">
        <f t="shared" si="8"/>
        <v>4911.8502200000003</v>
      </c>
      <c r="I88" s="129">
        <f>4555.0169</f>
        <v>4555.0168999999996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>
        <v>4143</v>
      </c>
      <c r="F89" s="72">
        <f>20.21702</f>
        <v>20.217020000000002</v>
      </c>
      <c r="G89" s="72">
        <f>1419.80413999999</f>
        <v>1419.80413999999</v>
      </c>
      <c r="H89" s="72">
        <f t="shared" si="8"/>
        <v>2723.1958600000098</v>
      </c>
      <c r="I89" s="72">
        <f>1232.32631000002</f>
        <v>1232.3263100000199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</f>
        <v>0</v>
      </c>
      <c r="G90" s="95">
        <f>11.61987</f>
        <v>11.619870000000001</v>
      </c>
      <c r="H90" s="95">
        <f t="shared" si="8"/>
        <v>307.38013000000001</v>
      </c>
      <c r="I90" s="95">
        <f>29.07267</f>
        <v>29.072669999999999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>
        <v>300</v>
      </c>
      <c r="F91" s="136">
        <f>0.845399999999999</f>
        <v>0.84539999999999904</v>
      </c>
      <c r="G91" s="136">
        <f>E91</f>
        <v>300</v>
      </c>
      <c r="H91" s="136">
        <f t="shared" si="8"/>
        <v>0</v>
      </c>
      <c r="I91" s="136">
        <f>E91</f>
        <v>300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>
        <v>50</v>
      </c>
      <c r="F92" s="95">
        <f>0.02451</f>
        <v>2.4510000000000001E-2</v>
      </c>
      <c r="G92" s="95">
        <f>4.38805</f>
        <v>4.3880499999999998</v>
      </c>
      <c r="H92" s="136">
        <f t="shared" si="8"/>
        <v>45.61195</v>
      </c>
      <c r="I92" s="95">
        <f>12.0597</f>
        <v>12.059699999999999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</f>
        <v>0</v>
      </c>
      <c r="G93" s="136">
        <f>9.56062</f>
        <v>9.5606200000000001</v>
      </c>
      <c r="H93" s="136">
        <f t="shared" si="8"/>
        <v>-9.5606200000000001</v>
      </c>
      <c r="I93" s="136">
        <f>11.8759</f>
        <v>11.8759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82240</v>
      </c>
      <c r="F94" s="73">
        <f t="shared" ref="F94:I94" si="10">F79+F82+F90+F91+F92+F93</f>
        <v>1078.01234</v>
      </c>
      <c r="G94" s="73">
        <f t="shared" si="10"/>
        <v>50619.089929999951</v>
      </c>
      <c r="H94" s="73">
        <f>H79+H82+H90+H91+H92+H93</f>
        <v>31620.910070000049</v>
      </c>
      <c r="I94" s="73">
        <f t="shared" si="10"/>
        <v>47041.505909999971</v>
      </c>
      <c r="J94" s="271"/>
    </row>
    <row r="95" spans="1:10" ht="13.5" customHeight="1" x14ac:dyDescent="0.35">
      <c r="A95" s="1"/>
      <c r="B95" s="281"/>
      <c r="C95" s="74" t="s">
        <v>142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143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144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145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54246</v>
      </c>
      <c r="F115" s="10">
        <f t="shared" ref="F115:I115" si="11">F116+F117+F118</f>
        <v>270.40095000000002</v>
      </c>
      <c r="G115" s="10">
        <f t="shared" si="11"/>
        <v>19777.461749999999</v>
      </c>
      <c r="H115" s="10">
        <f t="shared" si="11"/>
        <v>34468.538250000005</v>
      </c>
      <c r="I115" s="10">
        <f t="shared" si="11"/>
        <v>32445.005420000001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>
        <v>43397</v>
      </c>
      <c r="F116" s="22">
        <f>270.40095</f>
        <v>270.40095000000002</v>
      </c>
      <c r="G116" s="22">
        <f>17229.978</f>
        <v>17229.977999999999</v>
      </c>
      <c r="H116" s="22">
        <f>E116-G116</f>
        <v>26167.022000000001</v>
      </c>
      <c r="I116" s="22">
        <f>28989.39943</f>
        <v>28989.399430000001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>
        <v>10349</v>
      </c>
      <c r="F117" s="22">
        <f>0</f>
        <v>0</v>
      </c>
      <c r="G117" s="22">
        <f>2474.54325</f>
        <v>2474.5432500000002</v>
      </c>
      <c r="H117" s="22">
        <f>E117-G117</f>
        <v>7874.4567499999994</v>
      </c>
      <c r="I117" s="22">
        <f>3390.24839</f>
        <v>3390.2483900000002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>
        <v>500</v>
      </c>
      <c r="F118" s="22">
        <f>0</f>
        <v>0</v>
      </c>
      <c r="G118" s="22">
        <f>72.9405</f>
        <v>72.9405</v>
      </c>
      <c r="H118" s="53">
        <f>E118-G118</f>
        <v>427.05950000000001</v>
      </c>
      <c r="I118" s="22">
        <f>65.3576</f>
        <v>65.357600000000005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>
        <v>36653</v>
      </c>
      <c r="F119" s="92">
        <f>174.643</f>
        <v>174.643</v>
      </c>
      <c r="G119" s="92">
        <f>15371.7665+63.5768+1112.3793</f>
        <v>16547.722600000001</v>
      </c>
      <c r="H119" s="92">
        <f>E119-G119</f>
        <v>20105.277399999999</v>
      </c>
      <c r="I119" s="92">
        <f>24248.76155</f>
        <v>24248.761549999999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57110</v>
      </c>
      <c r="F120" s="91">
        <f>F121+F126+F129</f>
        <v>380.48125000000005</v>
      </c>
      <c r="G120" s="91">
        <f t="shared" ref="G120" si="12">G121+G126+G129</f>
        <v>23636.16125000003</v>
      </c>
      <c r="H120" s="91">
        <f>H121+H126+H129</f>
        <v>33473.838749999966</v>
      </c>
      <c r="I120" s="91">
        <f>I121+I126+I129</f>
        <v>38286.544789999978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43182</v>
      </c>
      <c r="F121" s="121">
        <f>F122+F123+F124+F125</f>
        <v>321.96891000000005</v>
      </c>
      <c r="G121" s="121">
        <f>G122+G123+G125+G124</f>
        <v>17610.408070000041</v>
      </c>
      <c r="H121" s="121">
        <f>H122+H123+H124+H125</f>
        <v>25571.591929999959</v>
      </c>
      <c r="I121" s="121">
        <f>I122+I123+I124+I125</f>
        <v>28662.588720000011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>
        <v>11476</v>
      </c>
      <c r="F122" s="123">
        <f>29.13384</f>
        <v>29.133839999999999</v>
      </c>
      <c r="G122" s="123">
        <f>4847.01333000001</f>
        <v>4847.0133300000098</v>
      </c>
      <c r="H122" s="123">
        <f>E122-G122</f>
        <v>6628.9866699999902</v>
      </c>
      <c r="I122" s="123">
        <f>6470.81879</f>
        <v>6470.8187900000003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>
        <v>11835</v>
      </c>
      <c r="F123" s="123">
        <f>82.47302</f>
        <v>82.473020000000005</v>
      </c>
      <c r="G123" s="123">
        <f>5071.47515000001</f>
        <v>5071.4751500000102</v>
      </c>
      <c r="H123" s="123">
        <f>E123-G123</f>
        <v>6763.5248499999898</v>
      </c>
      <c r="I123" s="123">
        <f>8181.3922</f>
        <v>8181.3922000000002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>
        <v>10473</v>
      </c>
      <c r="F124" s="123">
        <f>126.36365</f>
        <v>126.36365000000001</v>
      </c>
      <c r="G124" s="123">
        <f>4232.78691000001-63.5768</f>
        <v>4169.21011000001</v>
      </c>
      <c r="H124" s="123">
        <f>E124-G124</f>
        <v>6303.78988999999</v>
      </c>
      <c r="I124" s="123">
        <f>6693.06477</f>
        <v>6693.06477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>
        <v>9398</v>
      </c>
      <c r="F125" s="123">
        <f>83.9984</f>
        <v>83.998400000000004</v>
      </c>
      <c r="G125" s="123">
        <f>4635.08878000001-1112.3793</f>
        <v>3522.70948000001</v>
      </c>
      <c r="H125" s="123">
        <f>E125-G125</f>
        <v>5875.2905199999896</v>
      </c>
      <c r="I125" s="123">
        <f>7317.31296000001</f>
        <v>7317.3129600000102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6128</v>
      </c>
      <c r="F126" s="129">
        <f>SUM(F127:F128)</f>
        <v>6.7365000000000004</v>
      </c>
      <c r="G126" s="129">
        <f>SUM(G127:G128)</f>
        <v>2070.1918299999998</v>
      </c>
      <c r="H126" s="129">
        <f>H127+H128</f>
        <v>4057.8081699999998</v>
      </c>
      <c r="I126" s="129">
        <f>SUM(I127:I128)</f>
        <v>5875.4550600000002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>
        <v>5628</v>
      </c>
      <c r="F127" s="123">
        <f>0</f>
        <v>0</v>
      </c>
      <c r="G127" s="123">
        <f>1857.22641</f>
        <v>1857.22641</v>
      </c>
      <c r="H127" s="123">
        <f t="shared" ref="H127:H135" si="13">E127-G127</f>
        <v>3770.7735899999998</v>
      </c>
      <c r="I127" s="123">
        <f>5730.3431</f>
        <v>5730.3431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>
        <v>500</v>
      </c>
      <c r="F128" s="123">
        <f>6.7365</f>
        <v>6.7365000000000004</v>
      </c>
      <c r="G128" s="123">
        <f>212.96542</f>
        <v>212.96541999999999</v>
      </c>
      <c r="H128" s="123">
        <f t="shared" si="13"/>
        <v>287.03458000000001</v>
      </c>
      <c r="I128" s="123">
        <f>145.11196</f>
        <v>145.11196000000001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>
        <v>7800</v>
      </c>
      <c r="F129" s="72">
        <f>51.77584</f>
        <v>51.775840000000002</v>
      </c>
      <c r="G129" s="72">
        <f>3955.56134999999</f>
        <v>3955.5613499999899</v>
      </c>
      <c r="H129" s="72">
        <f t="shared" si="13"/>
        <v>3844.4386500000101</v>
      </c>
      <c r="I129" s="72">
        <f>3748.50100999997</f>
        <v>3748.5010099999699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>
        <v>156</v>
      </c>
      <c r="F130" s="136">
        <f>0</f>
        <v>0</v>
      </c>
      <c r="G130" s="136">
        <f>13.02868</f>
        <v>13.02868</v>
      </c>
      <c r="H130" s="136">
        <f t="shared" si="13"/>
        <v>142.97131999999999</v>
      </c>
      <c r="I130" s="136">
        <f>16.4505</f>
        <v>16.450500000000002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>
        <v>350</v>
      </c>
      <c r="F131" s="95">
        <f>0</f>
        <v>0</v>
      </c>
      <c r="G131" s="95">
        <f>232.166</f>
        <v>232.166</v>
      </c>
      <c r="H131" s="95">
        <f t="shared" si="13"/>
        <v>117.834</v>
      </c>
      <c r="I131" s="95">
        <f>346.269</f>
        <v>346.26900000000001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>
        <v>2000</v>
      </c>
      <c r="F132" s="136">
        <f>15.55553</f>
        <v>15.555529999999999</v>
      </c>
      <c r="G132" s="136">
        <f>E132</f>
        <v>2000</v>
      </c>
      <c r="H132" s="136">
        <f t="shared" si="13"/>
        <v>0</v>
      </c>
      <c r="I132" s="136">
        <f>E132</f>
        <v>2000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>
        <v>255</v>
      </c>
      <c r="F134" s="95">
        <f>0.1227</f>
        <v>0.1227</v>
      </c>
      <c r="G134" s="95">
        <f>6.16618</f>
        <v>6.1661799999999998</v>
      </c>
      <c r="H134" s="136">
        <f t="shared" si="13"/>
        <v>248.83382</v>
      </c>
      <c r="I134" s="95">
        <f>84.99955</f>
        <v>84.999549999999999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0.00675</f>
        <v>6.7499999999999999E-3</v>
      </c>
      <c r="G135" s="136">
        <f>77.21755</f>
        <v>77.217550000000003</v>
      </c>
      <c r="H135" s="136">
        <f t="shared" si="13"/>
        <v>-77.217550000000003</v>
      </c>
      <c r="I135" s="136">
        <f>76.90301</f>
        <v>76.903009999999995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150770</v>
      </c>
      <c r="F137" s="73">
        <f>F115+F119+F120+F130+F131+F132+F133+F134+F135</f>
        <v>841.21018000000004</v>
      </c>
      <c r="G137" s="73">
        <f>G115+G119+G120+G130+G131+G132+G133+G134+G135</f>
        <v>62289.924010000032</v>
      </c>
      <c r="H137" s="73">
        <f>H115+H119+H120+H130+H131+H132+H133+H134+H135</f>
        <v>88480.075989999968</v>
      </c>
      <c r="I137" s="73">
        <f>I115+I119+I120+I130+I131+I132+I133+I134+I135</f>
        <v>97504.933819999977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156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146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9.93784</f>
        <v>9.9378399999999996</v>
      </c>
      <c r="F160" s="301">
        <f>922.3565</f>
        <v>922.35649999999998</v>
      </c>
      <c r="G160" s="42">
        <f>D160-F160-F161</f>
        <v>1877.7424500000002</v>
      </c>
      <c r="H160" s="301">
        <f>797.49544</f>
        <v>797.49544000000003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0</f>
        <v>0</v>
      </c>
      <c r="F161" s="148">
        <f>953.90105</f>
        <v>953.90105000000005</v>
      </c>
      <c r="G161" s="219"/>
      <c r="H161" s="148">
        <f>1203.293</f>
        <v>1203.2929999999999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6.3656</f>
        <v>6.3655999999999997</v>
      </c>
      <c r="F162" s="166">
        <f>67.79885</f>
        <v>67.798850000000002</v>
      </c>
      <c r="G162" s="166">
        <f>D162-F162</f>
        <v>132.20114999999998</v>
      </c>
      <c r="H162" s="166">
        <f>57.37861</f>
        <v>57.378610000000002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3.4972699999999999</v>
      </c>
      <c r="F163" s="175">
        <f>F164+F165+F166</f>
        <v>5476.1374699999997</v>
      </c>
      <c r="G163" s="175">
        <f>D163-F163</f>
        <v>153.86253000000033</v>
      </c>
      <c r="H163" s="175">
        <f>H164+H165+H166</f>
        <v>4816.1554000000006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0.275</f>
        <v>0.27500000000000002</v>
      </c>
      <c r="F164" s="123">
        <f>3456.08698</f>
        <v>3456.08698</v>
      </c>
      <c r="G164" s="123"/>
      <c r="H164" s="123">
        <f>2740.93449</f>
        <v>2740.9344900000001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2.23264</f>
        <v>2.23264</v>
      </c>
      <c r="F165" s="123">
        <f>1417.06984</f>
        <v>1417.0698400000001</v>
      </c>
      <c r="G165" s="123"/>
      <c r="H165" s="123">
        <f>1378.01499</f>
        <v>1378.0149899999999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0.98963</f>
        <v>0.98963000000000001</v>
      </c>
      <c r="F166" s="186">
        <f>602.98065</f>
        <v>602.98064999999997</v>
      </c>
      <c r="G166" s="186"/>
      <c r="H166" s="186">
        <f>697.20592</f>
        <v>697.20591999999999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8.70186</f>
        <v>8.7018599999999999</v>
      </c>
      <c r="G167" s="136">
        <f>D167-F167</f>
        <v>82.298140000000004</v>
      </c>
      <c r="H167" s="136">
        <f>5.3531</f>
        <v>5.3531000000000004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19.800709999999999</v>
      </c>
      <c r="F169" s="188">
        <f>F160+F161+F162+F163+F167+F168</f>
        <v>7428.8957299999993</v>
      </c>
      <c r="G169" s="188">
        <f>D169-F169</f>
        <v>2246.1042700000007</v>
      </c>
      <c r="H169" s="188">
        <f>H160+H161+H162+H163+H167+H168</f>
        <v>6879.6755500000008</v>
      </c>
      <c r="I169" s="159"/>
      <c r="J169" s="155"/>
    </row>
    <row r="170" spans="1:10" ht="42" customHeight="1" x14ac:dyDescent="0.35">
      <c r="A170" s="1"/>
      <c r="B170" s="193"/>
      <c r="C170" s="254" t="s">
        <v>147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148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149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150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>
        <v>42740</v>
      </c>
      <c r="F189" s="124">
        <f>671.75045</f>
        <v>671.75045</v>
      </c>
      <c r="G189" s="124">
        <f>38677.46776</f>
        <v>38677.46776</v>
      </c>
      <c r="H189" s="124">
        <f>E189-G189</f>
        <v>4062.5322400000005</v>
      </c>
      <c r="I189" s="124">
        <f>41794.13526</f>
        <v>41794.135260000003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>
        <v>100</v>
      </c>
      <c r="F190" s="124">
        <f>1.14</f>
        <v>1.1399999999999999</v>
      </c>
      <c r="G190" s="124">
        <f>17.90206</f>
        <v>17.902059999999999</v>
      </c>
      <c r="H190" s="124">
        <f>E190-G190</f>
        <v>82.097939999999994</v>
      </c>
      <c r="I190" s="124">
        <f>30.05764</f>
        <v>30.057639999999999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672.89044999999999</v>
      </c>
      <c r="G192" s="190">
        <f>SUM(G189:G191)</f>
        <v>38695.36982</v>
      </c>
      <c r="H192" s="190">
        <f>E192-G192</f>
        <v>4190.6301800000001</v>
      </c>
      <c r="I192" s="190">
        <f>SUM(I189:I191)</f>
        <v>41824.192900000002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40.597479999999997</v>
      </c>
      <c r="F202" s="72">
        <f>F203+F204</f>
        <v>3027.2726600000001</v>
      </c>
      <c r="G202" s="72">
        <f>D202-F202</f>
        <v>174.72733999999991</v>
      </c>
      <c r="H202" s="72">
        <f>H203+H204</f>
        <v>2998.4325900000013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29.764</f>
        <v>29.763999999999999</v>
      </c>
      <c r="F203" s="72">
        <f>2452.16274</f>
        <v>2452.1627400000002</v>
      </c>
      <c r="G203" s="72"/>
      <c r="H203" s="72">
        <f>2423.91535</f>
        <v>2423.9153500000002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10.83348</f>
        <v>10.83348</v>
      </c>
      <c r="F204" s="124">
        <f>575.10992</f>
        <v>575.10991999999999</v>
      </c>
      <c r="G204" s="168"/>
      <c r="H204" s="124">
        <f>574.517240000001</f>
        <v>574.51724000000104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28.1135</f>
        <v>28.113499999999998</v>
      </c>
      <c r="F205" s="72">
        <f>2930.24328</f>
        <v>2930.2432800000001</v>
      </c>
      <c r="G205" s="72">
        <f>D205-F205</f>
        <v>773.75671999999986</v>
      </c>
      <c r="H205" s="72">
        <f>4058.41799</f>
        <v>4058.4179899999999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68.710979999999992</v>
      </c>
      <c r="F206" s="190">
        <f>SUM(F202,F205)</f>
        <v>5957.5159400000002</v>
      </c>
      <c r="G206" s="190">
        <f>D206-F206</f>
        <v>948.48405999999977</v>
      </c>
      <c r="H206" s="190">
        <f>SUM(H202,H205)</f>
        <v>7056.8505800000012</v>
      </c>
      <c r="I206" s="275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79.647940000000006</v>
      </c>
      <c r="F215" s="72">
        <f>F216+F217</f>
        <v>5677.1690400000007</v>
      </c>
      <c r="G215" s="72">
        <f>D215-F215</f>
        <v>-161.16904000000068</v>
      </c>
      <c r="H215" s="72">
        <f>H216+H217</f>
        <v>3861.3360899999998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74.4016</f>
        <v>74.401600000000002</v>
      </c>
      <c r="F216" s="72">
        <f>5323.60133</f>
        <v>5323.6013300000004</v>
      </c>
      <c r="G216" s="72"/>
      <c r="H216" s="72">
        <f>3560.80145</f>
        <v>3560.8014499999999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5.24634</f>
        <v>5.24634</v>
      </c>
      <c r="F217" s="124">
        <f>353.56771</f>
        <v>353.56770999999998</v>
      </c>
      <c r="G217" s="168"/>
      <c r="H217" s="124">
        <f>300.53464</f>
        <v>300.53464000000002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25.04578</f>
        <v>25.045780000000001</v>
      </c>
      <c r="F218" s="72">
        <f>2449.35542999999</f>
        <v>2449.3554299999901</v>
      </c>
      <c r="G218" s="72">
        <f>D218-F218</f>
        <v>782.64457000000994</v>
      </c>
      <c r="H218" s="72">
        <f>1676.82713</f>
        <v>1676.8271299999999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104.69372000000001</v>
      </c>
      <c r="F219" s="190">
        <f>SUM(F215,F218)</f>
        <v>8126.5244699999912</v>
      </c>
      <c r="G219" s="190">
        <f>D219-F219</f>
        <v>621.4755300000088</v>
      </c>
      <c r="H219" s="190">
        <f>SUM(H215,H218)</f>
        <v>5538.1632199999995</v>
      </c>
      <c r="I219" s="275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7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2.20542</f>
        <v>2.2054200000000002</v>
      </c>
      <c r="F237" s="124">
        <f>101.70626</f>
        <v>101.70626</v>
      </c>
      <c r="G237" s="124">
        <f>D237-F237</f>
        <v>698.29373999999996</v>
      </c>
      <c r="H237" s="124">
        <f>282.92253</f>
        <v>282.92252999999999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16.38125</f>
        <v>16.381250000000001</v>
      </c>
      <c r="F238" s="124">
        <f>358.441039999999</f>
        <v>358.44103999999902</v>
      </c>
      <c r="G238" s="124">
        <f>D238-F238</f>
        <v>347.55896000000098</v>
      </c>
      <c r="H238" s="124">
        <f>556.658419999999</f>
        <v>556.65841999999896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0.045</f>
        <v>4.4999999999999998E-2</v>
      </c>
      <c r="G239" s="124">
        <f>D239-F239</f>
        <v>9.9550000000000001</v>
      </c>
      <c r="H239" s="168">
        <f>0.82114</f>
        <v>0.82113999999999998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</f>
        <v>0</v>
      </c>
      <c r="F240" s="168">
        <f>0.66896</f>
        <v>0.66896</v>
      </c>
      <c r="G240" s="124">
        <f>D240-F240</f>
        <v>-0.66896</v>
      </c>
      <c r="H240" s="168">
        <f>2.37828</f>
        <v>2.3782800000000002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18.586670000000002</v>
      </c>
      <c r="F241" s="190">
        <f>SUM(F237:F240)</f>
        <v>460.86125999999905</v>
      </c>
      <c r="G241" s="190">
        <f>D241-F241</f>
        <v>1055.138740000001</v>
      </c>
      <c r="H241" s="190">
        <f>H237+H238+H239+H240</f>
        <v>842.78036999999892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18840</v>
      </c>
      <c r="F262" s="280">
        <f t="shared" si="15"/>
        <v>84.111460000000008</v>
      </c>
      <c r="G262" s="280">
        <f t="shared" si="15"/>
        <v>2696.3245899999997</v>
      </c>
      <c r="H262" s="280">
        <f>H266+H265+H264+H263</f>
        <v>16143.675410000002</v>
      </c>
      <c r="I262" s="280">
        <f t="shared" si="15"/>
        <v>7020.3024400000004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>
        <v>10175</v>
      </c>
      <c r="F263" s="284">
        <f>0</f>
        <v>0</v>
      </c>
      <c r="G263" s="284">
        <f>476.10947</f>
        <v>476.10946999999999</v>
      </c>
      <c r="H263" s="284">
        <f t="shared" ref="H263:H268" si="16">E263-G263</f>
        <v>9698.8905300000006</v>
      </c>
      <c r="I263" s="284">
        <f>2603.14099</f>
        <v>2603.1409899999999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>
        <v>2649</v>
      </c>
      <c r="F264" s="284">
        <f>0</f>
        <v>0</v>
      </c>
      <c r="G264" s="284">
        <f>35.64</f>
        <v>35.64</v>
      </c>
      <c r="H264" s="284">
        <f t="shared" si="16"/>
        <v>2613.36</v>
      </c>
      <c r="I264" s="284">
        <f>701.78751</f>
        <v>701.78751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>
        <v>1407</v>
      </c>
      <c r="F265" s="284">
        <f>13.81686</f>
        <v>13.81686</v>
      </c>
      <c r="G265" s="284">
        <f>895.06157</f>
        <v>895.06156999999996</v>
      </c>
      <c r="H265" s="284">
        <f t="shared" si="16"/>
        <v>511.93843000000004</v>
      </c>
      <c r="I265" s="284">
        <f>1117.28095</f>
        <v>1117.2809500000001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>
        <v>4609</v>
      </c>
      <c r="F266" s="284">
        <f>70.2946</f>
        <v>70.294600000000003</v>
      </c>
      <c r="G266" s="284">
        <f>1289.51355</f>
        <v>1289.5135499999999</v>
      </c>
      <c r="H266" s="284">
        <f t="shared" si="16"/>
        <v>3319.4864500000003</v>
      </c>
      <c r="I266" s="284">
        <f>2598.09299</f>
        <v>2598.0929900000001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>
        <v>5500</v>
      </c>
      <c r="F267" s="294">
        <f>0</f>
        <v>0</v>
      </c>
      <c r="G267" s="294">
        <f>1590.19559</f>
        <v>1590.19559</v>
      </c>
      <c r="H267" s="294">
        <f t="shared" si="16"/>
        <v>3909.8044099999997</v>
      </c>
      <c r="I267" s="294">
        <f>4095.32324</f>
        <v>4095.3232400000002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>
        <v>8000</v>
      </c>
      <c r="F268" s="295">
        <f>F270+F269</f>
        <v>25.923590000000001</v>
      </c>
      <c r="G268" s="295">
        <f>G270+G269</f>
        <v>1315.9353500000011</v>
      </c>
      <c r="H268" s="295">
        <f t="shared" si="16"/>
        <v>6684.0646499999984</v>
      </c>
      <c r="I268" s="295">
        <f>I270+I269</f>
        <v>1422.13005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339.93022</f>
        <v>339.93022000000002</v>
      </c>
      <c r="H269" s="284"/>
      <c r="I269" s="284">
        <f>464.07102</f>
        <v>464.07101999999998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25.92359</f>
        <v>25.923590000000001</v>
      </c>
      <c r="G270" s="303">
        <f>976.005130000001</f>
        <v>976.00513000000103</v>
      </c>
      <c r="H270" s="303"/>
      <c r="I270" s="303">
        <f>958.05903</f>
        <v>958.05903000000001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>
        <v>13</v>
      </c>
      <c r="F271" s="294">
        <f>0</f>
        <v>0</v>
      </c>
      <c r="G271" s="294">
        <f>0.11492</f>
        <v>0.11491999999999999</v>
      </c>
      <c r="H271" s="294">
        <f>E271-G271</f>
        <v>12.88508</v>
      </c>
      <c r="I271" s="294">
        <f>0.5685</f>
        <v>0.56850000000000001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0.1056</f>
        <v>0.1056</v>
      </c>
      <c r="G272" s="294">
        <f>38.64153</f>
        <v>38.641530000000003</v>
      </c>
      <c r="H272" s="294">
        <f>E272-G272</f>
        <v>-38.641530000000003</v>
      </c>
      <c r="I272" s="294">
        <f>111.98808</f>
        <v>111.98808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32353</v>
      </c>
      <c r="F273" s="312">
        <f t="shared" ref="F273:I273" si="17">F262+F267+F268+F271+F272</f>
        <v>110.14065000000001</v>
      </c>
      <c r="G273" s="312">
        <f t="shared" si="17"/>
        <v>5641.2119800000009</v>
      </c>
      <c r="H273" s="312">
        <f>H262+H267+H268+H271+H272</f>
        <v>26711.78802</v>
      </c>
      <c r="I273" s="312">
        <f t="shared" si="17"/>
        <v>12650.312309999999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152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153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2715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1774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4612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905</v>
      </c>
      <c r="E294" s="25">
        <f>SUM(E295:E296)</f>
        <v>90.768499999999989</v>
      </c>
      <c r="F294" s="25">
        <f>SUM(F295:F296)</f>
        <v>246.62869000000001</v>
      </c>
      <c r="G294" s="82">
        <f>D294-F294</f>
        <v>658.37130999999999</v>
      </c>
      <c r="H294" s="25">
        <f>SUM(H295:H296)</f>
        <v>249.04219999999998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83.6775</f>
        <v>83.677499999999995</v>
      </c>
      <c r="F295" s="198">
        <f>221.75535</f>
        <v>221.75534999999999</v>
      </c>
      <c r="G295" s="199"/>
      <c r="H295" s="198">
        <f>186.7009</f>
        <v>186.70089999999999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7.091</f>
        <v>7.0910000000000002</v>
      </c>
      <c r="F296" s="202">
        <f>24.87334</f>
        <v>24.873339999999999</v>
      </c>
      <c r="G296" s="203"/>
      <c r="H296" s="202">
        <f>62.3413</f>
        <v>62.341299999999997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905</v>
      </c>
      <c r="E297" s="25">
        <f>SUM(E298:E299)</f>
        <v>0</v>
      </c>
      <c r="F297" s="25">
        <f>SUM(F298:F299)</f>
        <v>0</v>
      </c>
      <c r="G297" s="82">
        <f>D297-F297</f>
        <v>905</v>
      </c>
      <c r="H297" s="25">
        <f>SUM(H298:H299)</f>
        <v>0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905</v>
      </c>
      <c r="E300" s="34">
        <f>SUM(E301:E302)</f>
        <v>0</v>
      </c>
      <c r="F300" s="34">
        <f>SUM(F301:F302)</f>
        <v>0</v>
      </c>
      <c r="G300" s="82">
        <f>D300-F300</f>
        <v>905</v>
      </c>
      <c r="H300" s="34">
        <f>SUM(H301:H302)</f>
        <v>0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2715</v>
      </c>
      <c r="E304" s="39">
        <f>E294+E297+E300+E303</f>
        <v>90.768499999999989</v>
      </c>
      <c r="F304" s="39">
        <f>F294+F297+F300+F303</f>
        <v>246.62869000000001</v>
      </c>
      <c r="G304" s="40">
        <f>D304-F304</f>
        <v>2468.37131</v>
      </c>
      <c r="H304" s="39">
        <f>H294+H297+H300+H303</f>
        <v>249.04219999999998</v>
      </c>
      <c r="I304" s="26"/>
      <c r="J304" s="127"/>
    </row>
    <row r="305" spans="1:10" ht="42" customHeight="1" x14ac:dyDescent="0.3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123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124</v>
      </c>
      <c r="E311" s="212" t="s">
        <v>125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126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0" t="s">
        <v>154</v>
      </c>
      <c r="D316" s="320"/>
      <c r="E316" s="320"/>
      <c r="F316" s="320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75" customHeight="1" x14ac:dyDescent="0.35">
      <c r="A322" s="223"/>
      <c r="B322" s="69"/>
      <c r="C322" s="236" t="s">
        <v>132</v>
      </c>
      <c r="D322" s="237">
        <v>238</v>
      </c>
      <c r="E322" s="29">
        <f>1.74456</f>
        <v>1.7445600000000001</v>
      </c>
      <c r="F322" s="29">
        <f>203.8085</f>
        <v>203.80850000000001</v>
      </c>
      <c r="G322" s="238">
        <f>D322-F322</f>
        <v>34.191499999999991</v>
      </c>
      <c r="H322" s="29">
        <f>562.013</f>
        <v>562.01300000000003</v>
      </c>
      <c r="I322" s="242"/>
      <c r="J322" s="127"/>
    </row>
    <row r="323" spans="1:10" ht="17.5" customHeight="1" x14ac:dyDescent="0.35">
      <c r="A323" s="223"/>
      <c r="B323" s="69"/>
      <c r="C323" s="239" t="s">
        <v>133</v>
      </c>
      <c r="D323" s="240">
        <v>21237</v>
      </c>
      <c r="E323" s="29">
        <f>15.20864</f>
        <v>15.208640000000001</v>
      </c>
      <c r="F323" s="29">
        <f>673.185910000002</f>
        <v>673.18591000000197</v>
      </c>
      <c r="G323" s="241">
        <f>D323-F323</f>
        <v>20563.81409</v>
      </c>
      <c r="H323" s="29">
        <f>831.258190000001</f>
        <v>831.25819000000104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16.953200000000002</v>
      </c>
      <c r="F324" s="39">
        <f>F323+F322</f>
        <v>876.99441000000195</v>
      </c>
      <c r="G324" s="39">
        <f>G323+G322</f>
        <v>20598.005590000001</v>
      </c>
      <c r="H324" s="39">
        <f>H323+H322</f>
        <v>1393.2711900000011</v>
      </c>
      <c r="I324" s="26"/>
      <c r="J324" s="127"/>
    </row>
    <row r="325" spans="1:10" ht="22.5" customHeight="1" x14ac:dyDescent="0.35">
      <c r="A325" s="223"/>
      <c r="B325" s="69"/>
      <c r="C325" s="318" t="s">
        <v>155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123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124</v>
      </c>
      <c r="E332" s="212" t="s">
        <v>125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126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7" t="s">
        <v>127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128</v>
      </c>
      <c r="F342" s="250" t="s">
        <v>129</v>
      </c>
      <c r="G342" s="250" t="s">
        <v>130</v>
      </c>
      <c r="H342" s="224" t="s">
        <v>131</v>
      </c>
      <c r="I342" s="251"/>
      <c r="J342" s="13"/>
    </row>
    <row r="343" spans="1:10" ht="0" hidden="1" customHeight="1" x14ac:dyDescent="0.35">
      <c r="A343" s="223"/>
      <c r="B343" s="69"/>
      <c r="C343" s="225" t="s">
        <v>132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133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8" t="s">
        <v>134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29&amp;R20.07.2026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2026-07-22T09:34:00Z</dcterms:modified>
</cp:coreProperties>
</file>