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F9C4A1F2-9676-40C8-BADF-095D7807B9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G345" i="1"/>
  <c r="F345" i="1"/>
  <c r="E345" i="1"/>
  <c r="D345" i="1"/>
  <c r="G344" i="1"/>
  <c r="G343" i="1"/>
  <c r="E336" i="1"/>
  <c r="H324" i="1"/>
  <c r="F324" i="1"/>
  <c r="D324" i="1"/>
  <c r="H323" i="1"/>
  <c r="G323" i="1"/>
  <c r="F323" i="1"/>
  <c r="E323" i="1"/>
  <c r="E324" i="1" s="1"/>
  <c r="H322" i="1"/>
  <c r="G322" i="1"/>
  <c r="G324" i="1" s="1"/>
  <c r="F322" i="1"/>
  <c r="E322" i="1"/>
  <c r="E315" i="1"/>
  <c r="D304" i="1"/>
  <c r="H303" i="1"/>
  <c r="G303" i="1"/>
  <c r="F303" i="1"/>
  <c r="E303" i="1"/>
  <c r="H302" i="1"/>
  <c r="F302" i="1"/>
  <c r="E302" i="1"/>
  <c r="H301" i="1"/>
  <c r="H300" i="1" s="1"/>
  <c r="F301" i="1"/>
  <c r="E301" i="1"/>
  <c r="F300" i="1"/>
  <c r="G300" i="1" s="1"/>
  <c r="E300" i="1"/>
  <c r="H299" i="1"/>
  <c r="F299" i="1"/>
  <c r="F297" i="1" s="1"/>
  <c r="G297" i="1" s="1"/>
  <c r="E299" i="1"/>
  <c r="H298" i="1"/>
  <c r="F298" i="1"/>
  <c r="E298" i="1"/>
  <c r="H297" i="1"/>
  <c r="E297" i="1"/>
  <c r="H296" i="1"/>
  <c r="H294" i="1" s="1"/>
  <c r="F296" i="1"/>
  <c r="E296" i="1"/>
  <c r="H295" i="1"/>
  <c r="F295" i="1"/>
  <c r="F294" i="1" s="1"/>
  <c r="E295" i="1"/>
  <c r="E294" i="1" s="1"/>
  <c r="E304" i="1" s="1"/>
  <c r="D273" i="1"/>
  <c r="I272" i="1"/>
  <c r="G272" i="1"/>
  <c r="H272" i="1" s="1"/>
  <c r="F272" i="1"/>
  <c r="I271" i="1"/>
  <c r="H271" i="1"/>
  <c r="G271" i="1"/>
  <c r="F271" i="1"/>
  <c r="I270" i="1"/>
  <c r="I268" i="1" s="1"/>
  <c r="G270" i="1"/>
  <c r="F270" i="1"/>
  <c r="F268" i="1" s="1"/>
  <c r="I269" i="1"/>
  <c r="G269" i="1"/>
  <c r="G268" i="1" s="1"/>
  <c r="H268" i="1" s="1"/>
  <c r="F269" i="1"/>
  <c r="I267" i="1"/>
  <c r="G267" i="1"/>
  <c r="H267" i="1" s="1"/>
  <c r="F267" i="1"/>
  <c r="I266" i="1"/>
  <c r="H266" i="1"/>
  <c r="G266" i="1"/>
  <c r="F266" i="1"/>
  <c r="I265" i="1"/>
  <c r="I262" i="1" s="1"/>
  <c r="G265" i="1"/>
  <c r="G262" i="1" s="1"/>
  <c r="G273" i="1" s="1"/>
  <c r="F265" i="1"/>
  <c r="F262" i="1" s="1"/>
  <c r="F273" i="1" s="1"/>
  <c r="I264" i="1"/>
  <c r="H264" i="1"/>
  <c r="G264" i="1"/>
  <c r="F264" i="1"/>
  <c r="I263" i="1"/>
  <c r="G263" i="1"/>
  <c r="H263" i="1" s="1"/>
  <c r="F263" i="1"/>
  <c r="E262" i="1"/>
  <c r="E273" i="1" s="1"/>
  <c r="D262" i="1"/>
  <c r="H254" i="1"/>
  <c r="F254" i="1"/>
  <c r="D251" i="1"/>
  <c r="D250" i="1"/>
  <c r="D241" i="1"/>
  <c r="H240" i="1"/>
  <c r="F240" i="1"/>
  <c r="G240" i="1" s="1"/>
  <c r="E240" i="1"/>
  <c r="H239" i="1"/>
  <c r="G239" i="1"/>
  <c r="F239" i="1"/>
  <c r="E239" i="1"/>
  <c r="H238" i="1"/>
  <c r="H241" i="1" s="1"/>
  <c r="F238" i="1"/>
  <c r="G238" i="1" s="1"/>
  <c r="E238" i="1"/>
  <c r="H237" i="1"/>
  <c r="G237" i="1"/>
  <c r="F237" i="1"/>
  <c r="E237" i="1"/>
  <c r="E241" i="1" s="1"/>
  <c r="D230" i="1"/>
  <c r="D219" i="1"/>
  <c r="H218" i="1"/>
  <c r="G218" i="1"/>
  <c r="F218" i="1"/>
  <c r="E218" i="1"/>
  <c r="H217" i="1"/>
  <c r="H215" i="1" s="1"/>
  <c r="H219" i="1" s="1"/>
  <c r="F217" i="1"/>
  <c r="E217" i="1"/>
  <c r="H216" i="1"/>
  <c r="F216" i="1"/>
  <c r="E216" i="1"/>
  <c r="E215" i="1" s="1"/>
  <c r="E219" i="1" s="1"/>
  <c r="F215" i="1"/>
  <c r="G215" i="1" s="1"/>
  <c r="D206" i="1"/>
  <c r="H205" i="1"/>
  <c r="G205" i="1"/>
  <c r="F205" i="1"/>
  <c r="E205" i="1"/>
  <c r="H204" i="1"/>
  <c r="F204" i="1"/>
  <c r="E204" i="1"/>
  <c r="H203" i="1"/>
  <c r="H202" i="1" s="1"/>
  <c r="H206" i="1" s="1"/>
  <c r="F203" i="1"/>
  <c r="E203" i="1"/>
  <c r="E202" i="1" s="1"/>
  <c r="E206" i="1" s="1"/>
  <c r="F202" i="1"/>
  <c r="G202" i="1" s="1"/>
  <c r="I192" i="1"/>
  <c r="F192" i="1"/>
  <c r="E192" i="1"/>
  <c r="D192" i="1"/>
  <c r="I191" i="1"/>
  <c r="G191" i="1"/>
  <c r="H191" i="1" s="1"/>
  <c r="F191" i="1"/>
  <c r="I190" i="1"/>
  <c r="H190" i="1"/>
  <c r="G190" i="1"/>
  <c r="F190" i="1"/>
  <c r="I189" i="1"/>
  <c r="G189" i="1"/>
  <c r="G192" i="1" s="1"/>
  <c r="H192" i="1" s="1"/>
  <c r="F189" i="1"/>
  <c r="D169" i="1"/>
  <c r="H168" i="1"/>
  <c r="G168" i="1"/>
  <c r="F168" i="1"/>
  <c r="E168" i="1"/>
  <c r="H167" i="1"/>
  <c r="G167" i="1"/>
  <c r="F167" i="1"/>
  <c r="E167" i="1"/>
  <c r="H166" i="1"/>
  <c r="F166" i="1"/>
  <c r="E166" i="1"/>
  <c r="H165" i="1"/>
  <c r="F165" i="1"/>
  <c r="E165" i="1"/>
  <c r="H164" i="1"/>
  <c r="F164" i="1"/>
  <c r="F163" i="1" s="1"/>
  <c r="G163" i="1" s="1"/>
  <c r="E164" i="1"/>
  <c r="H163" i="1"/>
  <c r="E163" i="1"/>
  <c r="H162" i="1"/>
  <c r="F162" i="1"/>
  <c r="G162" i="1" s="1"/>
  <c r="E162" i="1"/>
  <c r="H161" i="1"/>
  <c r="F161" i="1"/>
  <c r="F169" i="1" s="1"/>
  <c r="G169" i="1" s="1"/>
  <c r="E161" i="1"/>
  <c r="H160" i="1"/>
  <c r="H169" i="1" s="1"/>
  <c r="F160" i="1"/>
  <c r="E160" i="1"/>
  <c r="E169" i="1" s="1"/>
  <c r="I135" i="1"/>
  <c r="H135" i="1"/>
  <c r="G135" i="1"/>
  <c r="F135" i="1"/>
  <c r="I134" i="1"/>
  <c r="G134" i="1"/>
  <c r="H134" i="1" s="1"/>
  <c r="F134" i="1"/>
  <c r="H133" i="1"/>
  <c r="I132" i="1"/>
  <c r="G132" i="1"/>
  <c r="H132" i="1" s="1"/>
  <c r="F132" i="1"/>
  <c r="I131" i="1"/>
  <c r="H131" i="1"/>
  <c r="G131" i="1"/>
  <c r="F131" i="1"/>
  <c r="I130" i="1"/>
  <c r="G130" i="1"/>
  <c r="H130" i="1" s="1"/>
  <c r="F130" i="1"/>
  <c r="I129" i="1"/>
  <c r="H129" i="1"/>
  <c r="G129" i="1"/>
  <c r="F129" i="1"/>
  <c r="I128" i="1"/>
  <c r="G128" i="1"/>
  <c r="H128" i="1" s="1"/>
  <c r="F128" i="1"/>
  <c r="I127" i="1"/>
  <c r="H127" i="1"/>
  <c r="G127" i="1"/>
  <c r="F127" i="1"/>
  <c r="I126" i="1"/>
  <c r="G126" i="1"/>
  <c r="F126" i="1"/>
  <c r="E126" i="1"/>
  <c r="D126" i="1"/>
  <c r="I125" i="1"/>
  <c r="G125" i="1"/>
  <c r="H125" i="1" s="1"/>
  <c r="F125" i="1"/>
  <c r="I124" i="1"/>
  <c r="H124" i="1"/>
  <c r="G124" i="1"/>
  <c r="F124" i="1"/>
  <c r="I123" i="1"/>
  <c r="G123" i="1"/>
  <c r="H123" i="1" s="1"/>
  <c r="F123" i="1"/>
  <c r="I122" i="1"/>
  <c r="I121" i="1" s="1"/>
  <c r="I120" i="1" s="1"/>
  <c r="H122" i="1"/>
  <c r="G122" i="1"/>
  <c r="F122" i="1"/>
  <c r="F121" i="1" s="1"/>
  <c r="F120" i="1" s="1"/>
  <c r="G121" i="1"/>
  <c r="G120" i="1" s="1"/>
  <c r="E121" i="1"/>
  <c r="E120" i="1" s="1"/>
  <c r="E137" i="1" s="1"/>
  <c r="D121" i="1"/>
  <c r="D120" i="1" s="1"/>
  <c r="D137" i="1" s="1"/>
  <c r="I119" i="1"/>
  <c r="H119" i="1"/>
  <c r="G119" i="1"/>
  <c r="F119" i="1"/>
  <c r="I118" i="1"/>
  <c r="G118" i="1"/>
  <c r="H118" i="1" s="1"/>
  <c r="F118" i="1"/>
  <c r="I117" i="1"/>
  <c r="H117" i="1"/>
  <c r="G117" i="1"/>
  <c r="F117" i="1"/>
  <c r="F115" i="1" s="1"/>
  <c r="I116" i="1"/>
  <c r="G116" i="1"/>
  <c r="G115" i="1" s="1"/>
  <c r="F116" i="1"/>
  <c r="I115" i="1"/>
  <c r="I137" i="1" s="1"/>
  <c r="E115" i="1"/>
  <c r="D115" i="1"/>
  <c r="C113" i="1"/>
  <c r="I93" i="1"/>
  <c r="H93" i="1"/>
  <c r="G93" i="1"/>
  <c r="F93" i="1"/>
  <c r="I92" i="1"/>
  <c r="G92" i="1"/>
  <c r="H92" i="1" s="1"/>
  <c r="F92" i="1"/>
  <c r="I91" i="1"/>
  <c r="H91" i="1"/>
  <c r="G91" i="1"/>
  <c r="F91" i="1"/>
  <c r="I90" i="1"/>
  <c r="G90" i="1"/>
  <c r="H90" i="1" s="1"/>
  <c r="F90" i="1"/>
  <c r="I89" i="1"/>
  <c r="H89" i="1"/>
  <c r="G89" i="1"/>
  <c r="F89" i="1"/>
  <c r="I88" i="1"/>
  <c r="G88" i="1"/>
  <c r="H88" i="1" s="1"/>
  <c r="F88" i="1"/>
  <c r="I87" i="1"/>
  <c r="H87" i="1"/>
  <c r="G87" i="1"/>
  <c r="F87" i="1"/>
  <c r="I86" i="1"/>
  <c r="G86" i="1"/>
  <c r="H86" i="1" s="1"/>
  <c r="F86" i="1"/>
  <c r="I85" i="1"/>
  <c r="H85" i="1"/>
  <c r="G85" i="1"/>
  <c r="F85" i="1"/>
  <c r="I84" i="1"/>
  <c r="I83" i="1" s="1"/>
  <c r="I82" i="1" s="1"/>
  <c r="G84" i="1"/>
  <c r="H84" i="1" s="1"/>
  <c r="F84" i="1"/>
  <c r="F83" i="1"/>
  <c r="F82" i="1" s="1"/>
  <c r="E83" i="1"/>
  <c r="E82" i="1" s="1"/>
  <c r="E94" i="1" s="1"/>
  <c r="D83" i="1"/>
  <c r="D82" i="1"/>
  <c r="I81" i="1"/>
  <c r="G81" i="1"/>
  <c r="G79" i="1" s="1"/>
  <c r="F81" i="1"/>
  <c r="I80" i="1"/>
  <c r="H80" i="1"/>
  <c r="G80" i="1"/>
  <c r="F80" i="1"/>
  <c r="F79" i="1" s="1"/>
  <c r="I79" i="1"/>
  <c r="I94" i="1" s="1"/>
  <c r="E79" i="1"/>
  <c r="D79" i="1"/>
  <c r="D94" i="1" s="1"/>
  <c r="C76" i="1"/>
  <c r="H72" i="1"/>
  <c r="F72" i="1"/>
  <c r="D72" i="1"/>
  <c r="H58" i="1"/>
  <c r="H57" i="1"/>
  <c r="I52" i="1"/>
  <c r="H52" i="1"/>
  <c r="G52" i="1"/>
  <c r="F52" i="1"/>
  <c r="F31" i="1" s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I33" i="1" s="1"/>
  <c r="H34" i="1"/>
  <c r="G34" i="1"/>
  <c r="F34" i="1"/>
  <c r="F33" i="1" s="1"/>
  <c r="G33" i="1"/>
  <c r="E33" i="1"/>
  <c r="H33" i="1" s="1"/>
  <c r="D33" i="1"/>
  <c r="I32" i="1"/>
  <c r="H32" i="1"/>
  <c r="G32" i="1"/>
  <c r="F32" i="1"/>
  <c r="I31" i="1"/>
  <c r="G31" i="1"/>
  <c r="H31" i="1" s="1"/>
  <c r="I30" i="1"/>
  <c r="G30" i="1"/>
  <c r="H30" i="1" s="1"/>
  <c r="F30" i="1"/>
  <c r="I29" i="1"/>
  <c r="G29" i="1"/>
  <c r="H29" i="1" s="1"/>
  <c r="F29" i="1"/>
  <c r="I28" i="1"/>
  <c r="H28" i="1"/>
  <c r="G28" i="1"/>
  <c r="F28" i="1"/>
  <c r="I27" i="1"/>
  <c r="G27" i="1"/>
  <c r="H27" i="1" s="1"/>
  <c r="F27" i="1"/>
  <c r="E26" i="1"/>
  <c r="E25" i="1" s="1"/>
  <c r="D26" i="1"/>
  <c r="D25" i="1"/>
  <c r="I24" i="1"/>
  <c r="G24" i="1"/>
  <c r="H24" i="1" s="1"/>
  <c r="F24" i="1"/>
  <c r="I23" i="1"/>
  <c r="G23" i="1"/>
  <c r="H23" i="1" s="1"/>
  <c r="F23" i="1"/>
  <c r="F22" i="1" s="1"/>
  <c r="I22" i="1"/>
  <c r="G22" i="1"/>
  <c r="E22" i="1"/>
  <c r="D22" i="1"/>
  <c r="D42" i="1" s="1"/>
  <c r="H16" i="1"/>
  <c r="F16" i="1"/>
  <c r="D16" i="1"/>
  <c r="I26" i="1" l="1"/>
  <c r="I25" i="1" s="1"/>
  <c r="I42" i="1" s="1"/>
  <c r="H83" i="1"/>
  <c r="H82" i="1" s="1"/>
  <c r="H26" i="1"/>
  <c r="H25" i="1" s="1"/>
  <c r="G94" i="1"/>
  <c r="F137" i="1"/>
  <c r="H121" i="1"/>
  <c r="H120" i="1" s="1"/>
  <c r="I273" i="1"/>
  <c r="G137" i="1"/>
  <c r="F304" i="1"/>
  <c r="G304" i="1" s="1"/>
  <c r="G294" i="1"/>
  <c r="H22" i="1"/>
  <c r="F26" i="1"/>
  <c r="F25" i="1" s="1"/>
  <c r="F42" i="1" s="1"/>
  <c r="E42" i="1"/>
  <c r="F94" i="1"/>
  <c r="H126" i="1"/>
  <c r="H304" i="1"/>
  <c r="G26" i="1"/>
  <c r="G25" i="1" s="1"/>
  <c r="G42" i="1" s="1"/>
  <c r="G83" i="1"/>
  <c r="G82" i="1" s="1"/>
  <c r="H189" i="1"/>
  <c r="F206" i="1"/>
  <c r="G206" i="1" s="1"/>
  <c r="H265" i="1"/>
  <c r="H262" i="1" s="1"/>
  <c r="H273" i="1" s="1"/>
  <c r="F241" i="1"/>
  <c r="G241" i="1" s="1"/>
  <c r="H116" i="1"/>
  <c r="H115" i="1" s="1"/>
  <c r="H137" i="1" s="1"/>
  <c r="G160" i="1"/>
  <c r="F219" i="1"/>
  <c r="G219" i="1" s="1"/>
  <c r="H81" i="1"/>
  <c r="H79" i="1" s="1"/>
  <c r="H94" i="1" l="1"/>
  <c r="H42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<sst xmlns="http://schemas.openxmlformats.org/spreadsheetml/2006/main" count="393" uniqueCount="167">
  <si>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</si>
  <si>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</si>
  <si>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</si>
  <si>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</si>
  <si>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</si>
  <si>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</si>
  <si>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</si>
  <si>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</si>
  <si>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</si>
  <si>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</si>
  <si>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</si>
  <si>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</si>
  <si>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</si>
  <si>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</si>
  <si>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</si>
  <si>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</si>
  <si>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</si>
  <si>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</si>
  <si>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</si>
  <si>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</si>
  <si>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</si>
  <si>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</si>
  <si>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</si>
  <si>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</si>
  <si>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</si>
  <si>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</si>
  <si>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</si>
  <si>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</si>
  <si>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</si>
  <si>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</si>
  <si>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</si>
  <si>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</si>
  <si>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</si>
  <si>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</si>
  <si>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</si>
  <si>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</si>
  <si>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</si>
  <si>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</si>
  <si>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</si>
  <si>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</si>
  <si>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</si>
  <si>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</si>
  <si>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</si>
  <si>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</si>
  <si>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</si>
  <si>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</si>
  <si>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</si>
  <si>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</si>
  <si>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</si>
  <si>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</si>
  <si>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</si>
  <si>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</si>
  <si>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</si>
  <si>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</si>
  <si>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</si>
  <si>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</si>
  <si>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</si>
  <si>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</si>
  <si>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</si>
  <si>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</si>
  <si>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</si>
  <si>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</si>
  <si>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</si>
  <si>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</si>
  <si>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</si>
  <si>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</si>
  <si>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</si>
  <si>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</si>
  <si>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</si>
  <si>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</si>
  <si>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</si>
  <si>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</si>
  <si>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</si>
  <si>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</si>
  <si>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</si>
  <si>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</si>
  <si>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</si>
  <si>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</si>
  <si>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</si>
  <si>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</si>
  <si>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</si>
  <si>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</si>
  <si>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</si>
  <si>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</si>
  <si>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</si>
  <si>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</si>
  <si>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</si>
  <si>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</si>
  <si>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</si>
  <si>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</si>
  <si>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</si>
  <si>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</si>
  <si>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</si>
  <si>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</si>
  <si>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</si>
  <si>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</si>
  <si>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</si>
  <si>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</si>
  <si>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</si>
  <si>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</si>
  <si>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</si>
  <si>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</si>
  <si>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</si>
  <si>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</si>
  <si>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</si>
  <si>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</si>
  <si>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</si>
  <si>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</si>
  <si>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</si>
  <si>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</si>
  <si>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</si>
  <si>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</si>
  <si>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</si>
  <si>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</si>
  <si>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</si>
  <si>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</si>
  <si>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</si>
  <si>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</si>
  <si>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</si>
  <si>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</si>
  <si>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</si>
  <si>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</si>
  <si>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</si>
  <si>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</si>
  <si>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</si>
  <si>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</si>
  <si>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</si>
  <si>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</si>
  <si>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</si>
  <si>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</si>
  <si>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</si>
  <si>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</si>
  <si>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</si>
  <si>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</si>
  <si>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</si>
  <si>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</si>
  <si>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</si>
  <si>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</si>
  <si>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</si>
  <si>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</si>
  <si>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</si>
  <si>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</si>
  <si>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</si>
  <si>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</si>
  <si>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</si>
  <si>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</si>
  <si>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</si>
  <si>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</si>
  <si>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</si>
  <si>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</si>
  <si>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</si>
  <si>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</si>
  <si>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</si>
  <si>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</si>
  <si>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</si>
  <si>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</si>
  <si>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</si>
  <si>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</si>
  <si>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</si>
  <si>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t>2 Registrert rekreasjonsfiske utgjør 36 tonn, men det legges til grunn at hele avsetningen tas</t>
  </si>
  <si>
    <t>4 Registrert rekreasjonsfiske utgjør 164 tonn, men det legges til grunn at hele avsetningen tas</t>
  </si>
  <si>
    <t>3 Registrert rekreasjonsfiske utgjør 524 tonn, men det legges til grunn at hele avsetningen tas</t>
  </si>
  <si>
    <t>FANGST UKE 25</t>
  </si>
  <si>
    <t>FANGST T.O.M UKE 25</t>
  </si>
  <si>
    <t>RESTKVOTER UKE 25</t>
  </si>
  <si>
    <t>FANGST T.O.M UKE 25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</si>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</sst>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b/>
      <sz val="20"/>
      <color theme="4" tint="-0.249977111117893"/>
      <name val="Calibri"/>
      <family val="2"/>
    </font>
    <font>
      <sz val="8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3" fontId="3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zoomScale="112" zoomScaleNormal="55" zoomScaleSheetLayoutView="100" zoomScalePageLayoutView="85" workbookViewId="0">
      <selection activeCell="G46" sqref="G46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27" t="s">
        <v>123</v>
      </c>
      <c r="C2" s="328"/>
      <c r="D2" s="328"/>
      <c r="E2" s="328"/>
      <c r="F2" s="328"/>
      <c r="G2" s="328"/>
      <c r="H2" s="328"/>
      <c r="I2" s="328"/>
      <c r="J2" s="329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30"/>
      <c r="C9" s="331"/>
      <c r="D9" s="331"/>
      <c r="E9" s="331"/>
      <c r="F9" s="331"/>
      <c r="G9" s="331"/>
      <c r="H9" s="331"/>
      <c r="I9" s="331"/>
      <c r="J9" s="332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24" t="s">
        <v>1</v>
      </c>
      <c r="D11" s="325"/>
      <c r="E11" s="324" t="s">
        <v>2</v>
      </c>
      <c r="F11" s="325"/>
      <c r="G11" s="324" t="s">
        <v>3</v>
      </c>
      <c r="H11" s="325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17" t="s">
        <v>143</v>
      </c>
      <c r="D17" s="317"/>
      <c r="E17" s="317"/>
      <c r="F17" s="317"/>
      <c r="G17" s="317"/>
      <c r="H17" s="317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162</v>
      </c>
      <c r="G21" s="68" t="s">
        <v>163</v>
      </c>
      <c r="H21" s="68" t="s">
        <v>164</v>
      </c>
      <c r="I21" s="68" t="s">
        <v>165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13.612500000000001</v>
      </c>
      <c r="G22" s="27">
        <f t="shared" si="0"/>
        <v>19876.307860000001</v>
      </c>
      <c r="H22" s="10">
        <f t="shared" si="0"/>
        <v>21709.692139999999</v>
      </c>
      <c r="I22" s="10">
        <f t="shared" si="0"/>
        <v>36681.384299999998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13.6125</f>
        <v>13.612500000000001</v>
      </c>
      <c r="G23" s="22">
        <f>19565.04421</f>
        <v>19565.04421</v>
      </c>
      <c r="H23" s="22">
        <f>E23-G23</f>
        <v>21257.95579</v>
      </c>
      <c r="I23" s="22">
        <f>36161.69622</f>
        <v>36161.696219999998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311.26365</f>
        <v>311.26364999999998</v>
      </c>
      <c r="H24" s="22">
        <f>E24-G24</f>
        <v>451.73635000000002</v>
      </c>
      <c r="I24" s="22">
        <f>519.68808</f>
        <v>519.68808000000001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362.64632</v>
      </c>
      <c r="G25" s="10">
        <f t="shared" si="1"/>
        <v>97257.341030000011</v>
      </c>
      <c r="H25" s="10">
        <f t="shared" si="1"/>
        <v>24410.658969999997</v>
      </c>
      <c r="I25" s="10">
        <f t="shared" si="1"/>
        <v>116082.25945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229.8073</v>
      </c>
      <c r="G26" s="129">
        <f>G27+G28+G29+G30+G31</f>
        <v>76468.137520000004</v>
      </c>
      <c r="H26" s="129">
        <f t="shared" ref="H26:I26" si="2">H27+H28+H29+H30+H31</f>
        <v>18424.86248</v>
      </c>
      <c r="I26" s="129">
        <f t="shared" si="2"/>
        <v>92304.282349999994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98.63406 - F55</f>
        <v>98.634060000000005</v>
      </c>
      <c r="G27" s="123">
        <f>22339.44977 - G55</f>
        <v>22339.449769999999</v>
      </c>
      <c r="H27" s="123">
        <f t="shared" ref="H27:H39" si="3">E27-G27</f>
        <v>2813.5502300000007</v>
      </c>
      <c r="I27" s="123">
        <f>25329.88198 - I55</f>
        <v>25329.881979999998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30.12044 - F56</f>
        <v>30.120439999999999</v>
      </c>
      <c r="G28" s="123">
        <f>21717.37271 - G56</f>
        <v>21717.37271</v>
      </c>
      <c r="H28" s="123">
        <f t="shared" si="3"/>
        <v>2276.6272900000004</v>
      </c>
      <c r="I28" s="123">
        <f>26705.85097 - I56</f>
        <v>26705.85097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107.7152 - F57</f>
        <v>107.7152</v>
      </c>
      <c r="G29" s="123">
        <f>20422.50531 - G57</f>
        <v>20422.50531</v>
      </c>
      <c r="H29" s="123">
        <f t="shared" si="3"/>
        <v>1447.4946899999995</v>
      </c>
      <c r="I29" s="123">
        <f>24751.43008 - I57</f>
        <v>24751.430079999998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13.3376 - F58</f>
        <v>-6.6623999999999999</v>
      </c>
      <c r="G30" s="123">
        <f>13824.80973 - G58</f>
        <v>11988.809730000001</v>
      </c>
      <c r="H30" s="123">
        <f t="shared" si="3"/>
        <v>3656.1902699999991</v>
      </c>
      <c r="I30" s="123">
        <f>18089.11932 - I58</f>
        <v>15517.119320000002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71.01322</f>
        <v>71.013220000000004</v>
      </c>
      <c r="G32" s="129">
        <f>8255.77834</f>
        <v>8255.7783400000008</v>
      </c>
      <c r="H32" s="129">
        <f t="shared" si="3"/>
        <v>5423.2216599999992</v>
      </c>
      <c r="I32" s="129">
        <f>9829.4343</f>
        <v>9829.4343000000008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61.825800000000001</v>
      </c>
      <c r="G33" s="129">
        <f>G34+G35</f>
        <v>12533.42517</v>
      </c>
      <c r="H33" s="129">
        <f t="shared" si="3"/>
        <v>562.57482999999957</v>
      </c>
      <c r="I33" s="129">
        <f>I34+I35</f>
        <v>13948.542799999999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61.8258 - F59 - F60</f>
        <v>61.825800000000001</v>
      </c>
      <c r="G34" s="129">
        <f>12533.42517 - G59 - G60</f>
        <v>12533.42517</v>
      </c>
      <c r="H34" s="123">
        <f t="shared" si="3"/>
        <v>-397.42517000000043</v>
      </c>
      <c r="I34" s="123">
        <f>13948.5428 - I59 - I60</f>
        <v>13948.542799999999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1.2</f>
        <v>1.2</v>
      </c>
      <c r="G36" s="136">
        <f>266.4668</f>
        <v>266.46679999999998</v>
      </c>
      <c r="H36" s="136">
        <f t="shared" si="3"/>
        <v>733.53320000000008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3</f>
        <v>3</v>
      </c>
      <c r="G37" s="95">
        <f>551.24825</f>
        <v>551.24824999999998</v>
      </c>
      <c r="H37" s="95">
        <f t="shared" si="3"/>
        <v>303.75175000000002</v>
      </c>
      <c r="I37" s="95">
        <f>460.67467</f>
        <v>460.67466999999999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20</v>
      </c>
      <c r="G38" s="95">
        <f>G58</f>
        <v>1836</v>
      </c>
      <c r="H38" s="95">
        <f t="shared" si="3"/>
        <v>1164</v>
      </c>
      <c r="I38" s="95">
        <f>I58</f>
        <v>2572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12.3853</f>
        <v>12.385300000000001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0.47485</f>
        <v>0.47484999999999999</v>
      </c>
      <c r="G40" s="95">
        <f>363.93287</f>
        <v>363.93286999999998</v>
      </c>
      <c r="H40" s="95">
        <f>E40-G40</f>
        <v>86.06713000000002</v>
      </c>
      <c r="I40" s="95">
        <f>317.69341</f>
        <v>317.69340999999997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0.0045</f>
        <v>4.4999999999999997E-3</v>
      </c>
      <c r="G41" s="136">
        <f>66.65963</f>
        <v>66.659630000000007</v>
      </c>
      <c r="H41" s="136">
        <f t="shared" ref="H41" si="4">E41-G41</f>
        <v>-66.659630000000007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413.32346999999999</v>
      </c>
      <c r="G42" s="73">
        <f t="shared" si="5"/>
        <v>127217.95644000001</v>
      </c>
      <c r="H42" s="73">
        <f t="shared" si="5"/>
        <v>48341.043559999998</v>
      </c>
      <c r="I42" s="73">
        <f t="shared" si="5"/>
        <v>163547.80929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161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0" t="s">
        <v>43</v>
      </c>
      <c r="D49" s="320"/>
      <c r="E49" s="320"/>
      <c r="F49" s="320"/>
      <c r="G49" s="320"/>
      <c r="H49" s="320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162</v>
      </c>
      <c r="G51" s="68" t="s">
        <v>163</v>
      </c>
      <c r="H51" s="68" t="s">
        <v>164</v>
      </c>
      <c r="I51" s="68" t="s">
        <v>165</v>
      </c>
      <c r="J51" s="267"/>
    </row>
    <row r="52" spans="1:10" ht="14.15" customHeight="1" x14ac:dyDescent="0.35">
      <c r="A52" s="101"/>
      <c r="B52" s="24"/>
      <c r="C52" s="15" t="s">
        <v>45</v>
      </c>
      <c r="D52" s="321">
        <v>7872</v>
      </c>
      <c r="E52" s="321">
        <v>8231</v>
      </c>
      <c r="F52" s="10">
        <f>F56+F55+F54+F53</f>
        <v>0</v>
      </c>
      <c r="G52" s="10">
        <f>G56+G55+G54+G53</f>
        <v>0</v>
      </c>
      <c r="H52" s="321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22"/>
      <c r="E53" s="322"/>
      <c r="F53" s="123"/>
      <c r="G53" s="123"/>
      <c r="H53" s="322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22"/>
      <c r="E54" s="322"/>
      <c r="F54" s="123"/>
      <c r="G54" s="123"/>
      <c r="H54" s="322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22"/>
      <c r="E55" s="322"/>
      <c r="F55" s="123"/>
      <c r="G55" s="123"/>
      <c r="H55" s="322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23"/>
      <c r="E56" s="323"/>
      <c r="F56" s="186"/>
      <c r="G56" s="186"/>
      <c r="H56" s="323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20</v>
      </c>
      <c r="G58" s="136">
        <v>1836</v>
      </c>
      <c r="H58" s="136">
        <f>E58-G58</f>
        <v>1164</v>
      </c>
      <c r="I58" s="136">
        <v>2572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24" t="s">
        <v>1</v>
      </c>
      <c r="D68" s="325"/>
      <c r="E68" s="324" t="s">
        <v>2</v>
      </c>
      <c r="F68" s="326"/>
      <c r="G68" s="324" t="s">
        <v>3</v>
      </c>
      <c r="H68" s="325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162</v>
      </c>
      <c r="G78" s="14" t="s">
        <v>163</v>
      </c>
      <c r="H78" s="14" t="s">
        <v>164</v>
      </c>
      <c r="I78" s="14" t="s">
        <v>165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6.0830000000000002</v>
      </c>
      <c r="G79" s="10">
        <f t="shared" si="6"/>
        <v>19406.475299999998</v>
      </c>
      <c r="H79" s="10">
        <f t="shared" si="6"/>
        <v>6734.5247000000008</v>
      </c>
      <c r="I79" s="10">
        <f t="shared" si="6"/>
        <v>23059.15683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6.083</f>
        <v>6.0830000000000002</v>
      </c>
      <c r="G80" s="22">
        <f>18989.00608</f>
        <v>18989.006079999999</v>
      </c>
      <c r="H80" s="22">
        <f>E80-G80</f>
        <v>6326.9939200000008</v>
      </c>
      <c r="I80" s="22">
        <f>22280.91958</f>
        <v>22280.919580000002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417.46922</f>
        <v>417.46922000000001</v>
      </c>
      <c r="H81" s="48">
        <f>E81-G81</f>
        <v>407.53077999999999</v>
      </c>
      <c r="I81" s="48">
        <f>778.23725</f>
        <v>778.23725000000002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353.72707000000003</v>
      </c>
      <c r="G82" s="10">
        <f t="shared" si="7"/>
        <v>24222.916259999998</v>
      </c>
      <c r="H82" s="10">
        <f t="shared" si="7"/>
        <v>19906.083740000002</v>
      </c>
      <c r="I82" s="10">
        <f t="shared" si="7"/>
        <v>30391.696110000001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252.05722000000003</v>
      </c>
      <c r="G83" s="129">
        <f t="shared" si="8"/>
        <v>18901.891950000001</v>
      </c>
      <c r="H83" s="129">
        <f t="shared" si="8"/>
        <v>13603.108049999999</v>
      </c>
      <c r="I83" s="129">
        <f t="shared" si="8"/>
        <v>23703.248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48.47823</f>
        <v>48.478230000000003</v>
      </c>
      <c r="G84" s="123">
        <f>2866.69982</f>
        <v>2866.6998199999998</v>
      </c>
      <c r="H84" s="123">
        <f t="shared" ref="H84:H91" si="9">E84-G84</f>
        <v>6137.3001800000002</v>
      </c>
      <c r="I84" s="123">
        <f>4040.47391</f>
        <v>4040.4739100000002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113.96317</f>
        <v>113.96317000000001</v>
      </c>
      <c r="G85" s="123">
        <f>5238.39708</f>
        <v>5238.3970799999997</v>
      </c>
      <c r="H85" s="123">
        <f t="shared" si="9"/>
        <v>3836.6029200000003</v>
      </c>
      <c r="I85" s="123">
        <f>8128.09836</f>
        <v>8128.09836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29.05394</f>
        <v>29.053940000000001</v>
      </c>
      <c r="G86" s="123">
        <f>6308.95103</f>
        <v>6308.9510300000002</v>
      </c>
      <c r="H86" s="123">
        <f t="shared" si="9"/>
        <v>2340.0489699999998</v>
      </c>
      <c r="I86" s="123">
        <f>7311.7933</f>
        <v>7311.7933000000003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60.56188</f>
        <v>60.561880000000002</v>
      </c>
      <c r="G87" s="123">
        <f>4487.84402</f>
        <v>4487.8440199999995</v>
      </c>
      <c r="H87" s="123">
        <f t="shared" si="9"/>
        <v>1289.1559800000005</v>
      </c>
      <c r="I87" s="123">
        <f>4222.88243</f>
        <v>4222.8824299999997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76.4722</f>
        <v>76.472200000000001</v>
      </c>
      <c r="G88" s="129">
        <f>4173.91425</f>
        <v>4173.9142499999998</v>
      </c>
      <c r="H88" s="129">
        <f t="shared" si="9"/>
        <v>3943.0857500000002</v>
      </c>
      <c r="I88" s="129">
        <f>4930.19697</f>
        <v>4930.19697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25.19765</f>
        <v>25.197649999999999</v>
      </c>
      <c r="G89" s="72">
        <f>1147.11006</f>
        <v>1147.11006</v>
      </c>
      <c r="H89" s="72">
        <f t="shared" si="9"/>
        <v>2359.88994</v>
      </c>
      <c r="I89" s="72">
        <f>1758.25114</f>
        <v>1758.2511400000001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</f>
        <v>0</v>
      </c>
      <c r="G90" s="95">
        <f>29.07267</f>
        <v>29.072669999999999</v>
      </c>
      <c r="H90" s="95">
        <f t="shared" si="9"/>
        <v>289.92732999999998</v>
      </c>
      <c r="I90" s="95">
        <f>36.10176</f>
        <v>36.101759999999999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0.68089</f>
        <v>0.68089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0.00228</f>
        <v>2.2799999999999999E-3</v>
      </c>
      <c r="G92" s="95">
        <f>11.99994</f>
        <v>11.99994</v>
      </c>
      <c r="H92" s="136">
        <f>E92-G92</f>
        <v>38.000059999999998</v>
      </c>
      <c r="I92" s="95">
        <f>19.51706</f>
        <v>19.517060000000001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11.8549</f>
        <v>11.854900000000001</v>
      </c>
      <c r="H93" s="136">
        <f t="shared" ref="H93" si="10">E93-G93</f>
        <v>-11.854900000000001</v>
      </c>
      <c r="I93" s="136">
        <f>16.07232</f>
        <v>16.072320000000001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360.49324000000001</v>
      </c>
      <c r="G94" s="73">
        <f t="shared" si="12"/>
        <v>43982.319069999998</v>
      </c>
      <c r="H94" s="73">
        <f t="shared" si="12"/>
        <v>26956.680930000002</v>
      </c>
      <c r="I94" s="73">
        <f t="shared" si="12"/>
        <v>53822.544079999992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159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158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162</v>
      </c>
      <c r="G114" s="14" t="s">
        <v>163</v>
      </c>
      <c r="H114" s="14" t="s">
        <v>164</v>
      </c>
      <c r="I114" s="14" t="s">
        <v>165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71015</v>
      </c>
      <c r="F115" s="10">
        <f t="shared" ref="F115:I115" si="13">F116+F117+F118</f>
        <v>140.74019999999999</v>
      </c>
      <c r="G115" s="10">
        <f t="shared" si="13"/>
        <v>31207.342410000001</v>
      </c>
      <c r="H115" s="10">
        <f t="shared" si="13"/>
        <v>39807.657589999995</v>
      </c>
      <c r="I115" s="10">
        <f t="shared" si="13"/>
        <v>38772.175029999991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56450</v>
      </c>
      <c r="F116" s="22">
        <f>140.7402</f>
        <v>140.74019999999999</v>
      </c>
      <c r="G116" s="22">
        <f>27760.34807</f>
        <v>27760.34807</v>
      </c>
      <c r="H116" s="22">
        <f>E116-G116</f>
        <v>28689.65193</v>
      </c>
      <c r="I116" s="22">
        <f>34342.73473</f>
        <v>34342.734729999996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14065</v>
      </c>
      <c r="F117" s="22">
        <f>0</f>
        <v>0</v>
      </c>
      <c r="G117" s="22">
        <f>3381.63674</f>
        <v>3381.6367399999999</v>
      </c>
      <c r="H117" s="22">
        <f>E117-G117</f>
        <v>10683.36326</v>
      </c>
      <c r="I117" s="22">
        <f>4363.99015</f>
        <v>4363.9901499999996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51430</v>
      </c>
      <c r="F119" s="92">
        <f>1928.7666</f>
        <v>1928.7665999999999</v>
      </c>
      <c r="G119" s="92">
        <f>17209.95835</f>
        <v>17209.958350000001</v>
      </c>
      <c r="H119" s="92">
        <f>E119-G119</f>
        <v>34220.041649999999</v>
      </c>
      <c r="I119" s="92">
        <f>8442.8787</f>
        <v>8442.8786999999993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75045</v>
      </c>
      <c r="F120" s="91">
        <f>F121+F126+F129</f>
        <v>403.16003999999998</v>
      </c>
      <c r="G120" s="91">
        <f t="shared" ref="G120" si="14">G121+G126+G129</f>
        <v>36228.669429999994</v>
      </c>
      <c r="H120" s="91">
        <f>H121+H126+H129</f>
        <v>38816.330569999998</v>
      </c>
      <c r="I120" s="91">
        <f>I121+I126+I129</f>
        <v>48479.639280000003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56359</v>
      </c>
      <c r="F121" s="121">
        <f>F122+F123+F124+F125</f>
        <v>300.40697999999998</v>
      </c>
      <c r="G121" s="121">
        <f>G122+G123+G125+G124</f>
        <v>27092.884269999999</v>
      </c>
      <c r="H121" s="121">
        <f>H122+H123+H124+H125</f>
        <v>29266.115730000001</v>
      </c>
      <c r="I121" s="121">
        <f>I122+I123+I124+I125</f>
        <v>36295.196779999998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16016</v>
      </c>
      <c r="F122" s="123">
        <f>90.7344</f>
        <v>90.734399999999994</v>
      </c>
      <c r="G122" s="123">
        <f>6042.32923</f>
        <v>6042.3292300000003</v>
      </c>
      <c r="H122" s="123">
        <f>E122-G122</f>
        <v>9973.6707700000006</v>
      </c>
      <c r="I122" s="123">
        <f>6642.57658</f>
        <v>6642.5765799999999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14854</v>
      </c>
      <c r="F123" s="123">
        <f>6.96823</f>
        <v>6.9682300000000001</v>
      </c>
      <c r="G123" s="123">
        <f>7794.59802</f>
        <v>7794.5980200000004</v>
      </c>
      <c r="H123" s="123">
        <f>E123-G123</f>
        <v>7059.4019799999996</v>
      </c>
      <c r="I123" s="123">
        <f>10433.93541</f>
        <v>10433.93541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12872</v>
      </c>
      <c r="F124" s="123">
        <f>119.46515</f>
        <v>119.46514999999999</v>
      </c>
      <c r="G124" s="123">
        <f>6382.33314</f>
        <v>6382.3331399999997</v>
      </c>
      <c r="H124" s="123">
        <f>E124-G124</f>
        <v>6489.6668600000003</v>
      </c>
      <c r="I124" s="123">
        <f>9736.92953</f>
        <v>9736.9295299999994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12617</v>
      </c>
      <c r="F125" s="123">
        <f>83.2392</f>
        <v>83.239199999999997</v>
      </c>
      <c r="G125" s="123">
        <f>6873.62388</f>
        <v>6873.6238800000001</v>
      </c>
      <c r="H125" s="123">
        <f>E125-G125</f>
        <v>5743.3761199999999</v>
      </c>
      <c r="I125" s="123">
        <f>9481.75526</f>
        <v>9481.7552599999999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7742</v>
      </c>
      <c r="F126" s="129">
        <f>SUM(F127:F128)</f>
        <v>15.059699999999999</v>
      </c>
      <c r="G126" s="129">
        <f>SUM(G127:G128)</f>
        <v>5865.7838099999999</v>
      </c>
      <c r="H126" s="129">
        <f>H127+H128</f>
        <v>1876.2161900000003</v>
      </c>
      <c r="I126" s="129">
        <f>SUM(I127:I128)</f>
        <v>8662.129429999999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7242</v>
      </c>
      <c r="F127" s="123">
        <f>4.42395</f>
        <v>4.4239499999999996</v>
      </c>
      <c r="G127" s="123">
        <f>5723.13934</f>
        <v>5723.1393399999997</v>
      </c>
      <c r="H127" s="123">
        <f t="shared" ref="H127:H135" si="15">E127-G127</f>
        <v>1518.8606600000003</v>
      </c>
      <c r="I127" s="123">
        <f>8284.9558</f>
        <v>8284.9557999999997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10.63575</f>
        <v>10.63575</v>
      </c>
      <c r="G128" s="123">
        <f>142.64447</f>
        <v>142.64447000000001</v>
      </c>
      <c r="H128" s="123">
        <f t="shared" si="15"/>
        <v>357.35552999999999</v>
      </c>
      <c r="I128" s="123">
        <f>377.17363</f>
        <v>377.17363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10944</v>
      </c>
      <c r="F129" s="72">
        <f>87.69336</f>
        <v>87.693359999999998</v>
      </c>
      <c r="G129" s="72">
        <f>3270.00135</f>
        <v>3270.00135</v>
      </c>
      <c r="H129" s="72">
        <f t="shared" si="15"/>
        <v>7673.9986499999995</v>
      </c>
      <c r="I129" s="72">
        <f>3522.31307</f>
        <v>3522.3130700000002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</f>
        <v>0</v>
      </c>
      <c r="G130" s="136">
        <f>16.4505</f>
        <v>16.450500000000002</v>
      </c>
      <c r="H130" s="136">
        <f t="shared" si="15"/>
        <v>129.54949999999999</v>
      </c>
      <c r="I130" s="136">
        <f>15.71255</f>
        <v>15.71255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233.725</f>
        <v>233.72499999999999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14.55746</f>
        <v>14.557460000000001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0</f>
        <v>0</v>
      </c>
      <c r="G134" s="95">
        <f>81.90815</f>
        <v>81.908150000000006</v>
      </c>
      <c r="H134" s="136">
        <f t="shared" si="15"/>
        <v>231.09184999999999</v>
      </c>
      <c r="I134" s="95">
        <f>38.14073</f>
        <v>38.140729999999998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0.02005</f>
        <v>2.0049999999999998E-2</v>
      </c>
      <c r="G135" s="136">
        <f>75.08831</f>
        <v>75.088310000000007</v>
      </c>
      <c r="H135" s="136">
        <f t="shared" si="15"/>
        <v>-75.088310000000007</v>
      </c>
      <c r="I135" s="136">
        <f>111.40009</f>
        <v>111.40009000000001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2487.2443499999999</v>
      </c>
      <c r="G137" s="73">
        <f>G115+G119+G120+G130+G131+G132+G133+G134+G135</f>
        <v>86819.417150000008</v>
      </c>
      <c r="H137" s="73">
        <f>H115+H119+H120+H130+H131+H132+H133+H134+H135</f>
        <v>113479.58284999996</v>
      </c>
      <c r="I137" s="73">
        <f>I115+I119+I120+I130+I131+I132+I133+I134+I135</f>
        <v>98093.671379999985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160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162</v>
      </c>
      <c r="F159" s="14" t="s">
        <v>163</v>
      </c>
      <c r="G159" s="52" t="s">
        <v>164</v>
      </c>
      <c r="H159" s="14" t="s">
        <v>165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0.0292</f>
        <v>2.92E-2</v>
      </c>
      <c r="F160" s="297">
        <f>656.93688</f>
        <v>656.93687999999997</v>
      </c>
      <c r="G160" s="42">
        <f>D160-F160-F161</f>
        <v>2013.1866099999997</v>
      </c>
      <c r="H160" s="297">
        <f>608.40768</f>
        <v>608.40768000000003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67.78634</f>
        <v>67.786339999999996</v>
      </c>
      <c r="F161" s="148">
        <f>1091.87651</f>
        <v>1091.8765100000001</v>
      </c>
      <c r="G161" s="219"/>
      <c r="H161" s="148">
        <f>1168.92722</f>
        <v>1168.92722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0</f>
        <v>0</v>
      </c>
      <c r="F162" s="166">
        <f>55.14434</f>
        <v>55.14434</v>
      </c>
      <c r="G162" s="166">
        <f>D162-F162</f>
        <v>144.85566</v>
      </c>
      <c r="H162" s="166">
        <f>82.16938</f>
        <v>82.169380000000004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366.45673999999997</v>
      </c>
      <c r="F163" s="175">
        <f>F164+F165+F166</f>
        <v>4394.3900000000003</v>
      </c>
      <c r="G163" s="175">
        <f>D163-F163</f>
        <v>1247.6099999999997</v>
      </c>
      <c r="H163" s="175">
        <f>H164+H165+H166</f>
        <v>3822.9160199999997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301.64502</f>
        <v>301.64501999999999</v>
      </c>
      <c r="F164" s="123">
        <f>2496.74285</f>
        <v>2496.7428500000001</v>
      </c>
      <c r="G164" s="123"/>
      <c r="H164" s="123">
        <f>1841.99652</f>
        <v>1841.9965199999999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40.97488</f>
        <v>40.974879999999999</v>
      </c>
      <c r="F165" s="123">
        <f>1290.89333</f>
        <v>1290.8933300000001</v>
      </c>
      <c r="G165" s="123"/>
      <c r="H165" s="123">
        <f>1200.40446</f>
        <v>1200.40446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23.83684</f>
        <v>23.836839999999999</v>
      </c>
      <c r="F166" s="186">
        <f>606.75382</f>
        <v>606.75382000000002</v>
      </c>
      <c r="G166" s="186"/>
      <c r="H166" s="186">
        <f>780.51504</f>
        <v>780.51504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0</f>
        <v>0</v>
      </c>
      <c r="F167" s="136">
        <f>5.3531</f>
        <v>5.3531000000000004</v>
      </c>
      <c r="G167" s="136">
        <f>D167-F167</f>
        <v>65.646900000000002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434.27227999999997</v>
      </c>
      <c r="F169" s="188">
        <f>F160+F161+F162+F163+F167+F168</f>
        <v>6203.7008300000007</v>
      </c>
      <c r="G169" s="188">
        <f>D169-F169</f>
        <v>3471.2991699999993</v>
      </c>
      <c r="H169" s="188">
        <f>H160+H161+H162+H163+H167+H168</f>
        <v>5682.4202999999998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162</v>
      </c>
      <c r="G188" s="68" t="s">
        <v>163</v>
      </c>
      <c r="H188" s="68" t="s">
        <v>164</v>
      </c>
      <c r="I188" s="68" t="s">
        <v>165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879.12156</f>
        <v>879.12156000000004</v>
      </c>
      <c r="G189" s="124">
        <f>37786.95508</f>
        <v>37786.95508</v>
      </c>
      <c r="H189" s="124">
        <f>D189-G189</f>
        <v>6355.0449200000003</v>
      </c>
      <c r="I189" s="124">
        <f>32498.3052</f>
        <v>32498.305199999999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0.2056</f>
        <v>0.2056</v>
      </c>
      <c r="G190" s="124">
        <f>26.43772</f>
        <v>26.437719999999999</v>
      </c>
      <c r="H190" s="124">
        <f>D190-G190</f>
        <v>73.562280000000001</v>
      </c>
      <c r="I190" s="124">
        <f>24.22858</f>
        <v>24.228580000000001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879.32716000000005</v>
      </c>
      <c r="G192" s="190">
        <f>SUM(G189:G191)</f>
        <v>37813.392800000001</v>
      </c>
      <c r="H192" s="190">
        <f>D192-G192</f>
        <v>6464.6071999999986</v>
      </c>
      <c r="I192" s="190">
        <f>SUM(I189:I191)</f>
        <v>32522.533779999998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162</v>
      </c>
      <c r="F201" s="68" t="s">
        <v>163</v>
      </c>
      <c r="G201" s="68" t="s">
        <v>164</v>
      </c>
      <c r="H201" s="68" t="s">
        <v>165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39.807180000000002</v>
      </c>
      <c r="F202" s="72">
        <f>F203+F204</f>
        <v>2682.55717</v>
      </c>
      <c r="G202" s="72">
        <f>D202-F202</f>
        <v>1304.44283</v>
      </c>
      <c r="H202" s="72">
        <f>H203+H204</f>
        <v>2969.25704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37.55832</f>
        <v>37.558320000000002</v>
      </c>
      <c r="F203" s="72">
        <f>2151.827</f>
        <v>2151.8270000000002</v>
      </c>
      <c r="G203" s="72"/>
      <c r="H203" s="72">
        <f>2486.41455</f>
        <v>2486.41455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2.24886</f>
        <v>2.2488600000000001</v>
      </c>
      <c r="F204" s="124">
        <f>530.73017</f>
        <v>530.73017000000004</v>
      </c>
      <c r="G204" s="168"/>
      <c r="H204" s="124">
        <f>482.84249</f>
        <v>482.84249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31.78936</f>
        <v>31.789359999999999</v>
      </c>
      <c r="F205" s="72">
        <f>4003.1262</f>
        <v>4003.1262000000002</v>
      </c>
      <c r="G205" s="72">
        <f>D205-F205</f>
        <v>609.87379999999985</v>
      </c>
      <c r="H205" s="72">
        <f>4533.73759</f>
        <v>4533.7375899999997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71.596540000000005</v>
      </c>
      <c r="F206" s="190">
        <f>SUM(F202,F205)</f>
        <v>6685.6833700000007</v>
      </c>
      <c r="G206" s="190">
        <f>D206-F206</f>
        <v>1914.3166299999993</v>
      </c>
      <c r="H206" s="190">
        <f>SUM(H202,H205)</f>
        <v>7502.9946299999992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162</v>
      </c>
      <c r="F214" s="68" t="s">
        <v>163</v>
      </c>
      <c r="G214" s="68" t="s">
        <v>164</v>
      </c>
      <c r="H214" s="68" t="s">
        <v>165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252.25289999999998</v>
      </c>
      <c r="F215" s="72">
        <f>F216+F217</f>
        <v>3399.4887799999997</v>
      </c>
      <c r="G215" s="72">
        <f>D215-F215</f>
        <v>1690.5112200000003</v>
      </c>
      <c r="H215" s="72">
        <f>H216+H217</f>
        <v>3370.5010699999998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250.6112</f>
        <v>250.6112</v>
      </c>
      <c r="F216" s="72">
        <f>3115.71505</f>
        <v>3115.7150499999998</v>
      </c>
      <c r="G216" s="72"/>
      <c r="H216" s="72">
        <f>2956.01446</f>
        <v>2956.0144599999999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1.6417</f>
        <v>1.6416999999999999</v>
      </c>
      <c r="F217" s="124">
        <f>283.77373</f>
        <v>283.77373</v>
      </c>
      <c r="G217" s="168"/>
      <c r="H217" s="124">
        <f>414.48661</f>
        <v>414.48660999999998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21.43322</f>
        <v>21.433219999999999</v>
      </c>
      <c r="F218" s="72">
        <f>1593.32629</f>
        <v>1593.32629</v>
      </c>
      <c r="G218" s="72">
        <f>D218-F218</f>
        <v>1387.67371</v>
      </c>
      <c r="H218" s="72">
        <f>1957.29745</f>
        <v>1957.29745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273.68611999999996</v>
      </c>
      <c r="F219" s="190">
        <f>SUM(F215,F218)</f>
        <v>4992.8150699999997</v>
      </c>
      <c r="G219" s="190">
        <f>D219-F219</f>
        <v>3078.1849300000003</v>
      </c>
      <c r="H219" s="190">
        <f>SUM(H215,H218)</f>
        <v>5327.7985200000003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162</v>
      </c>
      <c r="F236" s="68" t="s">
        <v>163</v>
      </c>
      <c r="G236" s="68" t="s">
        <v>164</v>
      </c>
      <c r="H236" s="68" t="s">
        <v>165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7.42854</f>
        <v>7.4285399999999999</v>
      </c>
      <c r="F237" s="124">
        <f>248.18806</f>
        <v>248.18806000000001</v>
      </c>
      <c r="G237" s="124">
        <f>D237-F237</f>
        <v>551.81194000000005</v>
      </c>
      <c r="H237" s="124">
        <f>330.14853</f>
        <v>330.14852999999999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32.10923</f>
        <v>32.109229999999997</v>
      </c>
      <c r="F238" s="124">
        <f>464.55103</f>
        <v>464.55103000000003</v>
      </c>
      <c r="G238" s="124">
        <f>D238-F238</f>
        <v>1728.4489699999999</v>
      </c>
      <c r="H238" s="124">
        <f>746.45908</f>
        <v>746.45907999999997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0.82114</f>
        <v>0.82113999999999998</v>
      </c>
      <c r="G239" s="124">
        <f>D239-F239</f>
        <v>9.1788600000000002</v>
      </c>
      <c r="H239" s="168">
        <f>3.60962</f>
        <v>3.6096200000000001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</f>
        <v>0</v>
      </c>
      <c r="F240" s="168">
        <f>1.92872</f>
        <v>1.92872</v>
      </c>
      <c r="G240" s="124">
        <f>D240-F240</f>
        <v>-1.92872</v>
      </c>
      <c r="H240" s="168">
        <f>0.091</f>
        <v>9.0999999999999998E-2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39.537769999999995</v>
      </c>
      <c r="F241" s="190">
        <f>SUM(F237:F240)</f>
        <v>715.48895000000005</v>
      </c>
      <c r="G241" s="190">
        <f>D241-F241</f>
        <v>2287.5110500000001</v>
      </c>
      <c r="H241" s="190">
        <f>H237+H238+H239+H240</f>
        <v>1080.3082299999999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162</v>
      </c>
      <c r="G261" s="246" t="s">
        <v>163</v>
      </c>
      <c r="H261" s="246" t="s">
        <v>164</v>
      </c>
      <c r="I261" s="246" t="s">
        <v>165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242.69480000000001</v>
      </c>
      <c r="G262" s="276">
        <f t="shared" si="17"/>
        <v>5485.4038600000003</v>
      </c>
      <c r="H262" s="276">
        <f>H266+H265+H264+H263</f>
        <v>22250.596140000001</v>
      </c>
      <c r="I262" s="276">
        <f t="shared" si="17"/>
        <v>7022.4421600000005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0</f>
        <v>0</v>
      </c>
      <c r="G263" s="280">
        <f>1581.64711</f>
        <v>1581.6471100000001</v>
      </c>
      <c r="H263" s="280">
        <f t="shared" ref="H263:H267" si="18">E263-G263</f>
        <v>15088.35289</v>
      </c>
      <c r="I263" s="280">
        <f>4156.76936</f>
        <v>4156.7693600000002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701.78751</f>
        <v>701.78751</v>
      </c>
      <c r="H264" s="280">
        <f t="shared" si="18"/>
        <v>3637.2124899999999</v>
      </c>
      <c r="I264" s="280">
        <f>912.4407</f>
        <v>912.44069999999999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29.1552</f>
        <v>29.155200000000001</v>
      </c>
      <c r="G265" s="280">
        <f>1048.46145</f>
        <v>1048.46145</v>
      </c>
      <c r="H265" s="280">
        <f t="shared" si="18"/>
        <v>522.53854999999999</v>
      </c>
      <c r="I265" s="280">
        <f>1164.83304</f>
        <v>1164.83304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213.5396</f>
        <v>213.53960000000001</v>
      </c>
      <c r="G266" s="280">
        <f>2153.50779</f>
        <v>2153.5077900000001</v>
      </c>
      <c r="H266" s="280">
        <f t="shared" si="18"/>
        <v>3002.4922099999999</v>
      </c>
      <c r="I266" s="280">
        <f>788.39906</f>
        <v>788.39905999999996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0</f>
        <v>0</v>
      </c>
      <c r="G267" s="290">
        <f>4094.75724</f>
        <v>4094.7572399999999</v>
      </c>
      <c r="H267" s="290">
        <f t="shared" si="18"/>
        <v>1405.2427600000001</v>
      </c>
      <c r="I267" s="290">
        <f>2080.18178</f>
        <v>2080.1817799999999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28.042099999999998</v>
      </c>
      <c r="G268" s="291">
        <f>G270+G269</f>
        <v>1314.9602199999999</v>
      </c>
      <c r="H268" s="291">
        <f>E268-G268</f>
        <v>6685.0397800000001</v>
      </c>
      <c r="I268" s="291">
        <f>I270+I269</f>
        <v>1617.5598600000001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0.918</f>
        <v>0.91800000000000004</v>
      </c>
      <c r="G269" s="280">
        <f>451.03336</f>
        <v>451.03336000000002</v>
      </c>
      <c r="H269" s="280"/>
      <c r="I269" s="280">
        <f>525.66579</f>
        <v>525.66579000000002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27.1241</f>
        <v>27.124099999999999</v>
      </c>
      <c r="G270" s="299">
        <f>863.92686</f>
        <v>863.92686000000003</v>
      </c>
      <c r="H270" s="299"/>
      <c r="I270" s="299">
        <f>1091.89407</f>
        <v>1091.8940700000001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0.5685</f>
        <v>0.56850000000000001</v>
      </c>
      <c r="H271" s="290">
        <f>E271-G271</f>
        <v>12.4315</v>
      </c>
      <c r="I271" s="290">
        <f>0.1164</f>
        <v>0.1164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3.65744</f>
        <v>3.6574399999999998</v>
      </c>
      <c r="G272" s="290">
        <f>43.1474</f>
        <v>43.147399999999998</v>
      </c>
      <c r="H272" s="290">
        <f>E272-G272</f>
        <v>-43.147399999999998</v>
      </c>
      <c r="I272" s="290">
        <f>29.10676</f>
        <v>29.106760000000001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274.39434</v>
      </c>
      <c r="G273" s="308">
        <f t="shared" si="19"/>
        <v>10938.837220000001</v>
      </c>
      <c r="H273" s="308">
        <f>H262+H267+H268+H271+H272</f>
        <v>30310.162779999999</v>
      </c>
      <c r="I273" s="308">
        <f t="shared" si="19"/>
        <v>10749.406960000002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16" t="s">
        <v>120</v>
      </c>
      <c r="D288" s="316"/>
      <c r="E288" s="316"/>
      <c r="F288" s="316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162</v>
      </c>
      <c r="F293" s="19" t="s">
        <v>163</v>
      </c>
      <c r="G293" s="23" t="s">
        <v>164</v>
      </c>
      <c r="H293" s="19" t="s">
        <v>165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986.35825</v>
      </c>
      <c r="G297" s="82">
        <f>D297-F297</f>
        <v>-92.358249999999998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763.96923</f>
        <v>763.96923000000004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893</v>
      </c>
      <c r="E300" s="34">
        <f>SUM(E301:E302)</f>
        <v>2.8652500000000001</v>
      </c>
      <c r="F300" s="34">
        <f>SUM(F301:F302)</f>
        <v>738.72801000000004</v>
      </c>
      <c r="G300" s="82">
        <f>D300-F300</f>
        <v>154.27198999999996</v>
      </c>
      <c r="H300" s="34">
        <f>SUM(H301:H302)</f>
        <v>1247.7173700000001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0.4055</f>
        <v>0.40550000000000003</v>
      </c>
      <c r="F301" s="29">
        <f>510.43554</f>
        <v>510.43554</v>
      </c>
      <c r="G301" s="94"/>
      <c r="H301" s="29">
        <f>909.13814</f>
        <v>909.13814000000002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2.45975</f>
        <v>2.4597500000000001</v>
      </c>
      <c r="F302" s="29">
        <f>228.29247</f>
        <v>228.29247000000001</v>
      </c>
      <c r="G302" s="105"/>
      <c r="H302" s="29">
        <f>338.57923</f>
        <v>338.57923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2.8652500000000001</v>
      </c>
      <c r="F304" s="39">
        <f>F294+F297+F300+F303</f>
        <v>2748.29214</v>
      </c>
      <c r="G304" s="40">
        <f>D304-F304</f>
        <v>-67.292140000000018</v>
      </c>
      <c r="H304" s="39">
        <f>H294+H297+H300+H303</f>
        <v>3458.16158</v>
      </c>
      <c r="I304" s="26"/>
      <c r="J304" s="127"/>
    </row>
    <row r="305" spans="1:10" ht="42" customHeight="1" x14ac:dyDescent="0.35">
      <c r="A305" s="223"/>
      <c r="B305" s="230"/>
      <c r="C305" s="318" t="s">
        <v>115</v>
      </c>
      <c r="D305" s="318"/>
      <c r="E305" s="318"/>
      <c r="F305" s="318"/>
      <c r="G305" s="318"/>
      <c r="H305" s="318"/>
      <c r="I305" s="318"/>
      <c r="J305" s="319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16" t="s">
        <v>157</v>
      </c>
      <c r="D316" s="316"/>
      <c r="E316" s="316"/>
      <c r="F316" s="316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162</v>
      </c>
      <c r="F321" s="19" t="s">
        <v>163</v>
      </c>
      <c r="G321" s="19" t="s">
        <v>164</v>
      </c>
      <c r="H321" s="19" t="s">
        <v>165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10.97387</f>
        <v>10.97387</v>
      </c>
      <c r="F322" s="29">
        <f>113.91145</f>
        <v>113.91145</v>
      </c>
      <c r="G322" s="238">
        <f>D322-F322</f>
        <v>134.08855</v>
      </c>
      <c r="H322" s="29">
        <f>9.32684</f>
        <v>9.3268400000000007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49.38932</f>
        <v>49.389319999999998</v>
      </c>
      <c r="F323" s="29">
        <f>587.14693</f>
        <v>587.14693</v>
      </c>
      <c r="G323" s="241">
        <f>D323-F323</f>
        <v>21460.853070000001</v>
      </c>
      <c r="H323" s="29">
        <f>810.96009</f>
        <v>810.96009000000004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60.363189999999996</v>
      </c>
      <c r="F324" s="39">
        <f>F323+F322</f>
        <v>701.05837999999994</v>
      </c>
      <c r="G324" s="39">
        <f>G323+G322</f>
        <v>21594.941620000001</v>
      </c>
      <c r="H324" s="39">
        <f>H323+H322</f>
        <v>820.28692999999998</v>
      </c>
      <c r="I324" s="26"/>
      <c r="J324" s="127"/>
    </row>
    <row r="325" spans="1:10" ht="22.5" customHeight="1" x14ac:dyDescent="0.35">
      <c r="A325" s="223"/>
      <c r="B325" s="69"/>
      <c r="C325" s="314" t="s">
        <v>156</v>
      </c>
      <c r="D325" s="314"/>
      <c r="E325" s="314"/>
      <c r="F325" s="314"/>
      <c r="G325" s="314"/>
      <c r="H325" s="314"/>
      <c r="I325" s="314"/>
      <c r="J325" s="315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13" t="s">
        <v>149</v>
      </c>
      <c r="D337" s="313"/>
      <c r="E337" s="313"/>
      <c r="F337" s="313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14" t="s">
        <v>156</v>
      </c>
      <c r="D346" s="314"/>
      <c r="E346" s="314"/>
      <c r="F346" s="314"/>
      <c r="G346" s="314"/>
      <c r="H346" s="314"/>
      <c r="I346" s="314"/>
      <c r="J346" s="315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B2:J2"/>
    <mergeCell ref="B9:J9"/>
    <mergeCell ref="C11:D11"/>
    <mergeCell ref="E11:F11"/>
    <mergeCell ref="G11:H11"/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25&amp;R23.06.2025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2025-06-23T07:59:07Z</dcterms:modified>
</cp:coreProperties>
</file>