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A7BECE94-4514-426A-B7B4-018B754345E4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 s="1"/>
  <c r="F35" i="1"/>
  <c r="G34" i="1"/>
  <c r="G33" i="1" s="1"/>
  <c r="G35" i="1"/>
  <c r="G119" i="1"/>
  <c r="G125" i="1"/>
  <c r="G121" i="1" s="1"/>
  <c r="G120" i="1" s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E300" i="1" s="1"/>
  <c r="F300" i="1"/>
  <c r="G300" i="1" s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H294" i="1"/>
  <c r="H304" i="1" s="1"/>
  <c r="E294" i="1"/>
  <c r="E304" i="1" s="1"/>
  <c r="E273" i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G267" i="1"/>
  <c r="H267" i="1" s="1"/>
  <c r="F267" i="1"/>
  <c r="I266" i="1"/>
  <c r="H266" i="1"/>
  <c r="G266" i="1"/>
  <c r="F266" i="1"/>
  <c r="I265" i="1"/>
  <c r="G265" i="1"/>
  <c r="G262" i="1" s="1"/>
  <c r="F265" i="1"/>
  <c r="I264" i="1"/>
  <c r="H264" i="1"/>
  <c r="G264" i="1"/>
  <c r="F264" i="1"/>
  <c r="I263" i="1"/>
  <c r="G263" i="1"/>
  <c r="H263" i="1" s="1"/>
  <c r="F263" i="1"/>
  <c r="I262" i="1"/>
  <c r="I273" i="1" s="1"/>
  <c r="F262" i="1"/>
  <c r="F273" i="1" s="1"/>
  <c r="E262" i="1"/>
  <c r="D262" i="1"/>
  <c r="H254" i="1"/>
  <c r="F254" i="1"/>
  <c r="E241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H241" i="1" s="1"/>
  <c r="F237" i="1"/>
  <c r="F241" i="1" s="1"/>
  <c r="G241" i="1" s="1"/>
  <c r="E237" i="1"/>
  <c r="D219" i="1"/>
  <c r="H218" i="1"/>
  <c r="G218" i="1"/>
  <c r="F218" i="1"/>
  <c r="E218" i="1"/>
  <c r="H217" i="1"/>
  <c r="F217" i="1"/>
  <c r="F215" i="1" s="1"/>
  <c r="E217" i="1"/>
  <c r="E215" i="1" s="1"/>
  <c r="E219" i="1" s="1"/>
  <c r="H216" i="1"/>
  <c r="H215" i="1" s="1"/>
  <c r="H219" i="1" s="1"/>
  <c r="F216" i="1"/>
  <c r="E216" i="1"/>
  <c r="H206" i="1"/>
  <c r="D206" i="1"/>
  <c r="H205" i="1"/>
  <c r="F205" i="1"/>
  <c r="G205" i="1" s="1"/>
  <c r="E205" i="1"/>
  <c r="H204" i="1"/>
  <c r="F204" i="1"/>
  <c r="F202" i="1" s="1"/>
  <c r="E204" i="1"/>
  <c r="E202" i="1" s="1"/>
  <c r="E206" i="1" s="1"/>
  <c r="H203" i="1"/>
  <c r="F203" i="1"/>
  <c r="E203" i="1"/>
  <c r="H202" i="1"/>
  <c r="I192" i="1"/>
  <c r="E192" i="1"/>
  <c r="D192" i="1"/>
  <c r="I191" i="1"/>
  <c r="G191" i="1"/>
  <c r="H191" i="1" s="1"/>
  <c r="F191" i="1"/>
  <c r="I190" i="1"/>
  <c r="G190" i="1"/>
  <c r="H190" i="1" s="1"/>
  <c r="F190" i="1"/>
  <c r="F192" i="1" s="1"/>
  <c r="I189" i="1"/>
  <c r="G189" i="1"/>
  <c r="H189" i="1" s="1"/>
  <c r="F18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F164" i="1"/>
  <c r="F163" i="1" s="1"/>
  <c r="G163" i="1" s="1"/>
  <c r="E164" i="1"/>
  <c r="E163" i="1" s="1"/>
  <c r="H163" i="1"/>
  <c r="H162" i="1"/>
  <c r="G162" i="1"/>
  <c r="F162" i="1"/>
  <c r="E162" i="1"/>
  <c r="H161" i="1"/>
  <c r="F161" i="1"/>
  <c r="E161" i="1"/>
  <c r="H160" i="1"/>
  <c r="H169" i="1" s="1"/>
  <c r="F160" i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H126" i="1" s="1"/>
  <c r="F127" i="1"/>
  <c r="F126" i="1" s="1"/>
  <c r="I126" i="1"/>
  <c r="G126" i="1"/>
  <c r="E126" i="1"/>
  <c r="D126" i="1"/>
  <c r="I125" i="1"/>
  <c r="H125" i="1"/>
  <c r="F125" i="1"/>
  <c r="I124" i="1"/>
  <c r="G124" i="1"/>
  <c r="H124" i="1" s="1"/>
  <c r="F124" i="1"/>
  <c r="I123" i="1"/>
  <c r="H123" i="1"/>
  <c r="G123" i="1"/>
  <c r="F123" i="1"/>
  <c r="I122" i="1"/>
  <c r="I121" i="1" s="1"/>
  <c r="I120" i="1" s="1"/>
  <c r="G122" i="1"/>
  <c r="H122" i="1" s="1"/>
  <c r="H121" i="1" s="1"/>
  <c r="F122" i="1"/>
  <c r="F121" i="1"/>
  <c r="E121" i="1"/>
  <c r="E120" i="1" s="1"/>
  <c r="D121" i="1"/>
  <c r="D120" i="1"/>
  <c r="I119" i="1"/>
  <c r="H119" i="1"/>
  <c r="F119" i="1"/>
  <c r="I118" i="1"/>
  <c r="H118" i="1"/>
  <c r="G118" i="1"/>
  <c r="F118" i="1"/>
  <c r="I117" i="1"/>
  <c r="I115" i="1" s="1"/>
  <c r="G117" i="1"/>
  <c r="H117" i="1" s="1"/>
  <c r="F117" i="1"/>
  <c r="I116" i="1"/>
  <c r="H116" i="1"/>
  <c r="G116" i="1"/>
  <c r="G115" i="1" s="1"/>
  <c r="F116" i="1"/>
  <c r="F115" i="1" s="1"/>
  <c r="E115" i="1"/>
  <c r="E137" i="1" s="1"/>
  <c r="D115" i="1"/>
  <c r="D137" i="1" s="1"/>
  <c r="C113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G85" i="1"/>
  <c r="H85" i="1" s="1"/>
  <c r="F85" i="1"/>
  <c r="I84" i="1"/>
  <c r="G84" i="1"/>
  <c r="H84" i="1" s="1"/>
  <c r="F84" i="1"/>
  <c r="I83" i="1"/>
  <c r="I82" i="1" s="1"/>
  <c r="G83" i="1"/>
  <c r="G82" i="1" s="1"/>
  <c r="F83" i="1"/>
  <c r="F82" i="1" s="1"/>
  <c r="E83" i="1"/>
  <c r="D83" i="1"/>
  <c r="E82" i="1"/>
  <c r="D82" i="1"/>
  <c r="I81" i="1"/>
  <c r="G81" i="1"/>
  <c r="H81" i="1" s="1"/>
  <c r="H79" i="1" s="1"/>
  <c r="F81" i="1"/>
  <c r="I80" i="1"/>
  <c r="I79" i="1" s="1"/>
  <c r="G80" i="1"/>
  <c r="H80" i="1" s="1"/>
  <c r="F80" i="1"/>
  <c r="F79" i="1" s="1"/>
  <c r="F94" i="1" s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G52" i="1"/>
  <c r="H52" i="1" s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I34" i="1"/>
  <c r="I33" i="1"/>
  <c r="E33" i="1"/>
  <c r="D33" i="1"/>
  <c r="I32" i="1"/>
  <c r="G32" i="1"/>
  <c r="H32" i="1" s="1"/>
  <c r="F32" i="1"/>
  <c r="I30" i="1"/>
  <c r="G30" i="1"/>
  <c r="H30" i="1" s="1"/>
  <c r="F30" i="1"/>
  <c r="I29" i="1"/>
  <c r="G29" i="1"/>
  <c r="H29" i="1" s="1"/>
  <c r="F29" i="1"/>
  <c r="I28" i="1"/>
  <c r="I26" i="1" s="1"/>
  <c r="G28" i="1"/>
  <c r="F28" i="1"/>
  <c r="I27" i="1"/>
  <c r="G27" i="1"/>
  <c r="H27" i="1" s="1"/>
  <c r="F27" i="1"/>
  <c r="E26" i="1"/>
  <c r="D26" i="1"/>
  <c r="E25" i="1"/>
  <c r="D25" i="1"/>
  <c r="I24" i="1"/>
  <c r="G24" i="1"/>
  <c r="H24" i="1" s="1"/>
  <c r="H22" i="1" s="1"/>
  <c r="F24" i="1"/>
  <c r="I23" i="1"/>
  <c r="I22" i="1" s="1"/>
  <c r="G23" i="1"/>
  <c r="H23" i="1" s="1"/>
  <c r="F23" i="1"/>
  <c r="F22" i="1" s="1"/>
  <c r="E22" i="1"/>
  <c r="E42" i="1" s="1"/>
  <c r="D22" i="1"/>
  <c r="D42" i="1" s="1"/>
  <c r="H16" i="1"/>
  <c r="F16" i="1"/>
  <c r="D16" i="1"/>
  <c r="G137" i="1" l="1"/>
  <c r="I137" i="1"/>
  <c r="F219" i="1"/>
  <c r="G219" i="1" s="1"/>
  <c r="G215" i="1"/>
  <c r="F169" i="1"/>
  <c r="H83" i="1"/>
  <c r="H82" i="1" s="1"/>
  <c r="F137" i="1"/>
  <c r="F304" i="1"/>
  <c r="G304" i="1" s="1"/>
  <c r="G294" i="1"/>
  <c r="G169" i="1"/>
  <c r="I25" i="1"/>
  <c r="F206" i="1"/>
  <c r="G206" i="1" s="1"/>
  <c r="G202" i="1"/>
  <c r="G273" i="1"/>
  <c r="H94" i="1"/>
  <c r="I42" i="1"/>
  <c r="F120" i="1"/>
  <c r="H115" i="1"/>
  <c r="F26" i="1"/>
  <c r="F25" i="1" s="1"/>
  <c r="F42" i="1" s="1"/>
  <c r="H33" i="1"/>
  <c r="I94" i="1"/>
  <c r="H120" i="1"/>
  <c r="E169" i="1"/>
  <c r="H265" i="1"/>
  <c r="H262" i="1" s="1"/>
  <c r="H273" i="1" s="1"/>
  <c r="H34" i="1"/>
  <c r="G160" i="1"/>
  <c r="G22" i="1"/>
  <c r="G31" i="1"/>
  <c r="H31" i="1" s="1"/>
  <c r="H26" i="1" s="1"/>
  <c r="G79" i="1"/>
  <c r="G94" i="1" s="1"/>
  <c r="G192" i="1"/>
  <c r="H192" i="1" s="1"/>
  <c r="G323" i="1"/>
  <c r="G324" i="1" s="1"/>
  <c r="G237" i="1"/>
  <c r="H28" i="1"/>
  <c r="G26" i="1" l="1"/>
  <c r="G25" i="1" s="1"/>
  <c r="G42" i="1" s="1"/>
  <c r="H25" i="1"/>
  <c r="H42" i="1" s="1"/>
  <c r="H137" i="1"/>
</calcChain>
</file>

<file path=xl/sharedStrings.xml><?xml version="1.0" encoding="utf-8"?>
<sst xmlns="http://schemas.openxmlformats.org/spreadsheetml/2006/main" count="392" uniqueCount="166">
  <si>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</si>
  <si>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</si>
  <si>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</si>
  <si>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</si>
  <si>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</si>
  <si>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</si>
  <si>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</si>
  <si>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</si>
  <si>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</si>
  <si>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</si>
  <si>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</si>
  <si>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</si>
  <si>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</si>
  <si>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</si>
  <si>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</si>
  <si>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</si>
  <si>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</si>
  <si>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</si>
  <si>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</si>
  <si>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</si>
  <si>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</si>
  <si>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</si>
  <si>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</si>
  <si>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</si>
  <si>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</si>
  <si>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</si>
  <si>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</si>
  <si>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</si>
  <si>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</si>
  <si>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</si>
  <si>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</si>
  <si>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</si>
  <si>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</si>
  <si>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</si>
  <si>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</si>
  <si>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</si>
  <si>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</si>
  <si>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</si>
  <si>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</si>
  <si>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</si>
  <si>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</si>
  <si>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</si>
  <si>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</si>
  <si>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</si>
  <si>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</si>
  <si>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</si>
  <si>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</si>
  <si>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</si>
  <si>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</si>
  <si>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</si>
  <si>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</si>
  <si>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</si>
  <si>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</si>
  <si>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</si>
  <si>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</si>
  <si>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</si>
  <si>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</si>
  <si>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</si>
  <si>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</si>
  <si>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</si>
  <si>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</si>
  <si>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</si>
  <si>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</si>
  <si>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</si>
  <si>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</si>
  <si>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</si>
  <si>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</si>
  <si>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</si>
  <si>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</si>
  <si>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</si>
  <si>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</si>
  <si>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</si>
  <si>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</si>
  <si>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</si>
  <si>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</si>
  <si>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</si>
  <si>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</si>
  <si>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</si>
  <si>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</si>
  <si>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</si>
  <si>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</si>
  <si>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</si>
  <si>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</si>
  <si>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</si>
  <si>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</si>
  <si>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</si>
  <si>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</si>
  <si>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</si>
  <si>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</si>
  <si>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</si>
  <si>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</si>
  <si>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</si>
  <si>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</si>
  <si>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</si>
  <si>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</si>
  <si>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</si>
  <si>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</si>
  <si>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</si>
  <si>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</si>
  <si>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</si>
  <si>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</si>
  <si>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</si>
  <si>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</si>
  <si>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</si>
  <si>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</si>
  <si>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</si>
  <si>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</si>
  <si>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</si>
  <si>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</si>
  <si>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</si>
  <si>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</si>
  <si>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</si>
  <si>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</si>
  <si>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</si>
  <si>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</si>
  <si>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</si>
  <si>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</si>
  <si>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</si>
  <si>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</si>
  <si>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</si>
  <si>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</si>
  <si>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</si>
  <si>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</si>
  <si>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</si>
  <si>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</si>
  <si>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</si>
  <si>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</si>
  <si>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</si>
  <si>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</si>
  <si>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</si>
  <si>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</si>
  <si>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</si>
  <si>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</si>
  <si>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</si>
  <si>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</si>
  <si>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</si>
  <si>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</si>
  <si>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</si>
  <si>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</si>
  <si>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</si>
  <si>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</si>
  <si>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</si>
  <si>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</si>
  <si>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</si>
  <si>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</si>
  <si>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</si>
  <si>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</si>
  <si>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</si>
  <si>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</si>
  <si>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</si>
  <si>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</si>
  <si>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</si>
  <si>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</si>
  <si>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</si>
  <si>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</si>
  <si>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</si>
  <si>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</si>
  <si>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944 tonn er overført fra ubenyttet tredjelandskvoter til norsk totalkvote, hvorav 1 020 tonn til torsketrål, 308 til konvensjonelle havfiskefartøy, 554 tonn til lukket gruppe og 62 tonn til åpen gruppe </t>
    </r>
  </si>
  <si>
    <t>2 Registrert rekreasjonsfiske utgjør 36 tonn, men det legges til grunn at hele avsetningen tas</t>
  </si>
  <si>
    <t>4 Registrert rekreasjonsfiske utgjør 198 tonn, men det legges til grunn at hele avsetningen tas</t>
  </si>
  <si>
    <t>3 Registrert rekreasjonsfiske utgjør 639 tonn, men det legges til grunn at hele avsetningen tas</t>
  </si>
  <si>
    <t>FANGST UKE 23</t>
  </si>
  <si>
    <t>FANGST T.O.M UKE 23</t>
  </si>
  <si>
    <t>RESTKVOTER UKE 23</t>
  </si>
  <si>
    <t>FANGST T.O.M UKE 23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</si>
  <si>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544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</si>
</sst>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62" zoomScale="115" zoomScaleNormal="115" zoomScaleSheetLayoutView="100" zoomScalePageLayoutView="85" workbookViewId="0">
      <selection activeCell="G174" sqref="G174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31" t="s">
        <v>138</v>
      </c>
      <c r="C2" s="332"/>
      <c r="D2" s="332"/>
      <c r="E2" s="332"/>
      <c r="F2" s="332"/>
      <c r="G2" s="332"/>
      <c r="H2" s="332"/>
      <c r="I2" s="332"/>
      <c r="J2" s="333"/>
    </row>
    <row r="3" spans="1:10" ht="14.85" customHeight="1" x14ac:dyDescent="0.2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2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" customHeight="1" x14ac:dyDescent="0.2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2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2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2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" customHeight="1" x14ac:dyDescent="0.2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2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2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2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2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" customHeight="1" x14ac:dyDescent="0.2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92.241</v>
      </c>
      <c r="G22" s="27">
        <f t="shared" si="0"/>
        <v>13991.504489999999</v>
      </c>
      <c r="H22" s="10">
        <f>H24+H23</f>
        <v>19440.495510000001</v>
      </c>
      <c r="I22" s="10">
        <f t="shared" si="0"/>
        <v>19357.645950000002</v>
      </c>
      <c r="J22" s="271"/>
    </row>
    <row r="23" spans="1:10" ht="14.1" customHeight="1" x14ac:dyDescent="0.25">
      <c r="A23" s="1"/>
      <c r="B23" s="281"/>
      <c r="C23" s="43" t="s">
        <v>20</v>
      </c>
      <c r="D23" s="44">
        <v>31785</v>
      </c>
      <c r="E23" s="44">
        <v>32689</v>
      </c>
      <c r="F23" s="22">
        <f>92.241</f>
        <v>92.241</v>
      </c>
      <c r="G23" s="22">
        <f>13624.41699</f>
        <v>13624.41699</v>
      </c>
      <c r="H23" s="22">
        <f>E23-G23</f>
        <v>19064.583010000002</v>
      </c>
      <c r="I23" s="22">
        <f>19047.2583</f>
        <v>19047.258300000001</v>
      </c>
      <c r="J23" s="271"/>
    </row>
    <row r="24" spans="1:10" ht="14.1" customHeight="1" x14ac:dyDescent="0.25">
      <c r="A24" s="1"/>
      <c r="B24" s="281"/>
      <c r="C24" s="47" t="s">
        <v>21</v>
      </c>
      <c r="D24" s="218">
        <v>750</v>
      </c>
      <c r="E24" s="218">
        <v>743</v>
      </c>
      <c r="F24" s="165">
        <f>0</f>
        <v>0</v>
      </c>
      <c r="G24" s="22">
        <f>367.0875</f>
        <v>367.08749999999998</v>
      </c>
      <c r="H24" s="22">
        <f>E24-G24</f>
        <v>375.91250000000002</v>
      </c>
      <c r="I24" s="22">
        <f>310.38765</f>
        <v>310.38765000000001</v>
      </c>
      <c r="J24" s="271"/>
    </row>
    <row r="25" spans="1:10" ht="14.1" customHeight="1" x14ac:dyDescent="0.2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431.26049</v>
      </c>
      <c r="G25" s="10">
        <f t="shared" si="1"/>
        <v>79442.463699999906</v>
      </c>
      <c r="H25" s="10">
        <f>H33+H32+H26</f>
        <v>18599.536300000102</v>
      </c>
      <c r="I25" s="10">
        <f t="shared" si="1"/>
        <v>95911.020810000002</v>
      </c>
      <c r="J25" s="271"/>
    </row>
    <row r="26" spans="1:10" ht="15" customHeight="1" x14ac:dyDescent="0.2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388.01549999999997</v>
      </c>
      <c r="G26" s="129">
        <f>G27+G28+G29+G30+G31</f>
        <v>64821.056490000003</v>
      </c>
      <c r="H26" s="129">
        <f>H27+H28+H29+H30+H31</f>
        <v>13036.943509999999</v>
      </c>
      <c r="I26" s="129">
        <f t="shared" ref="I26" si="2">I27+I28+I29+I30+I31</f>
        <v>77713.551760000002</v>
      </c>
      <c r="J26" s="271"/>
    </row>
    <row r="27" spans="1:10" ht="14.1" customHeight="1" x14ac:dyDescent="0.25">
      <c r="A27" s="192"/>
      <c r="B27" s="176"/>
      <c r="C27" s="60" t="s">
        <v>24</v>
      </c>
      <c r="D27" s="61">
        <v>19164</v>
      </c>
      <c r="E27" s="61">
        <v>20868</v>
      </c>
      <c r="F27" s="209">
        <f>92.5978 - F53</f>
        <v>92.597800000000007</v>
      </c>
      <c r="G27" s="123">
        <f>19088.58124 - G53</f>
        <v>19088.58124</v>
      </c>
      <c r="H27" s="123">
        <f t="shared" ref="H27:H41" si="3">E27-G27</f>
        <v>1779.4187600000005</v>
      </c>
      <c r="I27" s="123">
        <f>22131.77675 - I53</f>
        <v>22131.776750000001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19036</v>
      </c>
      <c r="E28" s="61">
        <v>19720</v>
      </c>
      <c r="F28" s="123">
        <f>93.36575 - F54</f>
        <v>93.365750000000006</v>
      </c>
      <c r="G28" s="123">
        <f>18402.15102 - G54</f>
        <v>18402.151020000001</v>
      </c>
      <c r="H28" s="123">
        <f t="shared" si="3"/>
        <v>1317.8489799999988</v>
      </c>
      <c r="I28" s="123">
        <f>21601.59925 - I54</f>
        <v>21601.599249999999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17407</v>
      </c>
      <c r="E29" s="61">
        <v>17625</v>
      </c>
      <c r="F29" s="123">
        <f>136.25341 - F55</f>
        <v>136.25341</v>
      </c>
      <c r="G29" s="123">
        <f>15373.40429 - G55</f>
        <v>15373.40429</v>
      </c>
      <c r="H29" s="123">
        <f t="shared" si="3"/>
        <v>2251.5957099999996</v>
      </c>
      <c r="I29" s="123">
        <f>20232.73831 - I55</f>
        <v>20232.738310000001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12796</v>
      </c>
      <c r="E30" s="61">
        <v>12954</v>
      </c>
      <c r="F30" s="123">
        <f>65.79854 - F56</f>
        <v>65.798540000000003</v>
      </c>
      <c r="G30" s="123">
        <f>11956.91994 - G56</f>
        <v>11956.91994</v>
      </c>
      <c r="H30" s="123">
        <f t="shared" si="3"/>
        <v>997.08006000000023</v>
      </c>
      <c r="I30" s="123">
        <f>13747.43745 - I56</f>
        <v>13747.437449999999</v>
      </c>
      <c r="J30" s="63"/>
    </row>
    <row r="31" spans="1:10" ht="14.1" customHeight="1" x14ac:dyDescent="0.25">
      <c r="A31" s="192"/>
      <c r="B31" s="176"/>
      <c r="C31" s="60" t="s">
        <v>136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10717</v>
      </c>
      <c r="E32" s="55">
        <v>10907</v>
      </c>
      <c r="F32" s="129">
        <f>0.22314</f>
        <v>0.22314000000000001</v>
      </c>
      <c r="G32" s="129">
        <f>5195.34188</f>
        <v>5195.3418799999999</v>
      </c>
      <c r="H32" s="129">
        <f t="shared" si="3"/>
        <v>5711.6581200000001</v>
      </c>
      <c r="I32" s="129">
        <f>7549.84686</f>
        <v>7549.8468599999997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43.021850000000001</v>
      </c>
      <c r="G33" s="129">
        <f>G34+G35</f>
        <v>9426.0653299998994</v>
      </c>
      <c r="H33" s="129">
        <f t="shared" si="3"/>
        <v>-149.0653299998994</v>
      </c>
      <c r="I33" s="129">
        <f>I34+I35</f>
        <v>10647.62219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8392</v>
      </c>
      <c r="E34" s="61">
        <v>8412</v>
      </c>
      <c r="F34" s="123">
        <f>101.02185 - F57 - F58</f>
        <v>43.021850000000001</v>
      </c>
      <c r="G34" s="129">
        <f>11942.0653299999 - G57 - G58</f>
        <v>9426.0653299998994</v>
      </c>
      <c r="H34" s="123">
        <f t="shared" si="3"/>
        <v>-1014.0653299998994</v>
      </c>
      <c r="I34" s="123">
        <f>12436.62219 - I57 - I58</f>
        <v>10647.62219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25">
      <c r="A36" s="1"/>
      <c r="B36" s="281"/>
      <c r="C36" s="70" t="s">
        <v>32</v>
      </c>
      <c r="D36" s="140">
        <v>500</v>
      </c>
      <c r="E36" s="140">
        <v>500</v>
      </c>
      <c r="F36" s="136">
        <f>0</f>
        <v>0</v>
      </c>
      <c r="G36" s="136">
        <f>478.1416</f>
        <v>478.14159999999998</v>
      </c>
      <c r="H36" s="136">
        <f t="shared" si="3"/>
        <v>21.858400000000017</v>
      </c>
      <c r="I36" s="136">
        <f>270.3376</f>
        <v>270.33760000000001</v>
      </c>
      <c r="J36" s="271"/>
    </row>
    <row r="37" spans="1:10" ht="14.1" customHeight="1" x14ac:dyDescent="0.25">
      <c r="A37" s="1"/>
      <c r="B37" s="281"/>
      <c r="C37" s="70" t="s">
        <v>33</v>
      </c>
      <c r="D37" s="140">
        <v>880</v>
      </c>
      <c r="E37" s="140">
        <v>880</v>
      </c>
      <c r="F37" s="95">
        <f>0</f>
        <v>0</v>
      </c>
      <c r="G37" s="95">
        <f>535.2751</f>
        <v>535.27509999999995</v>
      </c>
      <c r="H37" s="95">
        <f t="shared" si="3"/>
        <v>344.72490000000005</v>
      </c>
      <c r="I37" s="95">
        <f>544.65067</f>
        <v>544.65066999999999</v>
      </c>
      <c r="J37" s="271"/>
    </row>
    <row r="38" spans="1:10" ht="17.25" customHeight="1" x14ac:dyDescent="0.2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58</v>
      </c>
      <c r="G38" s="95">
        <f>G58</f>
        <v>2516</v>
      </c>
      <c r="H38" s="95">
        <f t="shared" si="3"/>
        <v>484</v>
      </c>
      <c r="I38" s="95">
        <f>I58</f>
        <v>1789</v>
      </c>
      <c r="J38" s="271"/>
    </row>
    <row r="39" spans="1:10" ht="17.25" customHeight="1" x14ac:dyDescent="0.25">
      <c r="A39" s="1"/>
      <c r="B39" s="281"/>
      <c r="C39" s="70" t="s">
        <v>35</v>
      </c>
      <c r="D39" s="140">
        <v>7000</v>
      </c>
      <c r="E39" s="140">
        <v>7000</v>
      </c>
      <c r="F39" s="95">
        <f>8.19648</f>
        <v>8.1964799999999993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25">
      <c r="A40" s="1"/>
      <c r="B40" s="281"/>
      <c r="C40" s="70" t="s">
        <v>37</v>
      </c>
      <c r="D40" s="140">
        <v>450</v>
      </c>
      <c r="E40" s="140">
        <v>450</v>
      </c>
      <c r="F40" s="95">
        <f>2.9948</f>
        <v>2.9948000000000001</v>
      </c>
      <c r="G40" s="95">
        <f>391.57559</f>
        <v>391.57558999999998</v>
      </c>
      <c r="H40" s="95">
        <f t="shared" si="3"/>
        <v>58.424410000000023</v>
      </c>
      <c r="I40" s="95">
        <f>362.98322</f>
        <v>362.98322000000002</v>
      </c>
      <c r="J40" s="271"/>
    </row>
    <row r="41" spans="1:10" ht="14.1" customHeight="1" x14ac:dyDescent="0.25">
      <c r="A41" s="1"/>
      <c r="B41" s="281"/>
      <c r="C41" s="70" t="s">
        <v>38</v>
      </c>
      <c r="D41" s="140"/>
      <c r="E41" s="136"/>
      <c r="F41" s="136">
        <f>0</f>
        <v>0</v>
      </c>
      <c r="G41" s="136">
        <f>51.25798</f>
        <v>51.257980000000003</v>
      </c>
      <c r="H41" s="136">
        <f t="shared" si="3"/>
        <v>-51.257980000000003</v>
      </c>
      <c r="I41" s="136">
        <f>66.51068</f>
        <v>66.510679999999994</v>
      </c>
      <c r="J41" s="271"/>
    </row>
    <row r="42" spans="1:10" ht="16.5" customHeight="1" x14ac:dyDescent="0.2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592.69277</v>
      </c>
      <c r="G42" s="73">
        <f t="shared" si="4"/>
        <v>104406.21845999989</v>
      </c>
      <c r="H42" s="73">
        <f>H22+H25+H36+H37+H38+H39+H40+H41</f>
        <v>38897.781540000098</v>
      </c>
      <c r="I42" s="73">
        <f t="shared" si="4"/>
        <v>125302.14893000001</v>
      </c>
      <c r="J42" s="271"/>
    </row>
    <row r="43" spans="1:10" ht="14.1" customHeight="1" x14ac:dyDescent="0.25">
      <c r="A43" s="101"/>
      <c r="B43" s="24"/>
      <c r="C43" s="74" t="s">
        <v>139</v>
      </c>
      <c r="D43" s="216"/>
      <c r="E43" s="216"/>
      <c r="F43" s="76"/>
      <c r="G43" s="76"/>
      <c r="H43" s="255"/>
      <c r="I43" s="255"/>
      <c r="J43" s="77"/>
    </row>
    <row r="44" spans="1:10" ht="14.1" customHeight="1" x14ac:dyDescent="0.25">
      <c r="A44" s="101"/>
      <c r="B44" s="24"/>
      <c r="C44" s="78" t="s">
        <v>135</v>
      </c>
      <c r="D44" s="216"/>
      <c r="E44" s="216"/>
      <c r="F44" s="216"/>
      <c r="G44" s="76"/>
      <c r="H44" s="173"/>
      <c r="I44" s="173"/>
      <c r="J44" s="271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140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25">
      <c r="A49" s="101"/>
      <c r="B49" s="24"/>
      <c r="C49" s="324" t="s">
        <v>137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" customHeight="1" x14ac:dyDescent="0.2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" customHeight="1" x14ac:dyDescent="0.2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" customHeight="1" x14ac:dyDescent="0.2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58</v>
      </c>
      <c r="G58" s="136">
        <v>2516</v>
      </c>
      <c r="H58" s="136">
        <f>E58-G58</f>
        <v>484</v>
      </c>
      <c r="I58" s="136">
        <v>1789</v>
      </c>
      <c r="J58" s="117"/>
    </row>
    <row r="59" spans="1:10" ht="14.1" customHeight="1" x14ac:dyDescent="0.25">
      <c r="A59" s="101"/>
      <c r="B59" s="24"/>
      <c r="C59" s="74" t="s">
        <v>141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25">
      <c r="B69" s="281"/>
      <c r="C69" s="110" t="s">
        <v>79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2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" customHeight="1" x14ac:dyDescent="0.2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2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25">
      <c r="A73" s="1"/>
      <c r="B73" s="281"/>
      <c r="C73" s="101" t="s">
        <v>157</v>
      </c>
      <c r="D73" s="244"/>
      <c r="E73" s="244"/>
      <c r="F73" s="244"/>
      <c r="G73" s="244"/>
      <c r="H73" s="244"/>
      <c r="I73" s="263"/>
      <c r="J73" s="117"/>
    </row>
    <row r="74" spans="1:10" ht="6" customHeight="1" x14ac:dyDescent="0.2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" customHeight="1" x14ac:dyDescent="0.2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2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2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81"/>
      <c r="C79" s="31" t="s">
        <v>19</v>
      </c>
      <c r="D79" s="27">
        <f>D80+D81</f>
        <v>28395</v>
      </c>
      <c r="E79" s="27">
        <f>E81+E80</f>
        <v>29899</v>
      </c>
      <c r="F79" s="10">
        <f t="shared" ref="F79:I79" si="5">F81+F80</f>
        <v>19.142199999999999</v>
      </c>
      <c r="G79" s="10">
        <f t="shared" si="5"/>
        <v>21870.75892</v>
      </c>
      <c r="H79" s="10">
        <f>H81+H80</f>
        <v>8028.2410800000007</v>
      </c>
      <c r="I79" s="10">
        <f t="shared" si="5"/>
        <v>19209.856090000001</v>
      </c>
      <c r="J79" s="271"/>
    </row>
    <row r="80" spans="1:10" ht="15" customHeight="1" x14ac:dyDescent="0.25">
      <c r="A80" s="1"/>
      <c r="B80" s="281"/>
      <c r="C80" s="43" t="s">
        <v>20</v>
      </c>
      <c r="D80" s="44">
        <v>27645</v>
      </c>
      <c r="E80" s="44">
        <v>29143</v>
      </c>
      <c r="F80" s="22">
        <f>19.1422</f>
        <v>19.142199999999999</v>
      </c>
      <c r="G80" s="22">
        <f>21367.46459</f>
        <v>21367.46459</v>
      </c>
      <c r="H80" s="22">
        <f>E80-G80</f>
        <v>7775.5354100000004</v>
      </c>
      <c r="I80" s="22">
        <f>18793.07287</f>
        <v>18793.07287</v>
      </c>
      <c r="J80" s="271"/>
    </row>
    <row r="81" spans="1:10" ht="14.1" customHeight="1" x14ac:dyDescent="0.25">
      <c r="A81" s="1"/>
      <c r="B81" s="281"/>
      <c r="C81" s="62" t="s">
        <v>21</v>
      </c>
      <c r="D81" s="218">
        <v>750</v>
      </c>
      <c r="E81" s="218">
        <v>756</v>
      </c>
      <c r="F81" s="48">
        <f>0</f>
        <v>0</v>
      </c>
      <c r="G81" s="48">
        <f>503.29433</f>
        <v>503.29433</v>
      </c>
      <c r="H81" s="48">
        <f>E81-G81</f>
        <v>252.70567</v>
      </c>
      <c r="I81" s="48">
        <f>416.78322</f>
        <v>416.78321999999997</v>
      </c>
      <c r="J81" s="271"/>
    </row>
    <row r="82" spans="1:10" ht="15.75" customHeight="1" x14ac:dyDescent="0.25">
      <c r="A82" s="1"/>
      <c r="B82" s="50"/>
      <c r="C82" s="15" t="s">
        <v>22</v>
      </c>
      <c r="D82" s="27">
        <f>D83+D88+D89</f>
        <v>47281</v>
      </c>
      <c r="E82" s="27">
        <f>E83+E88+E89</f>
        <v>51672</v>
      </c>
      <c r="F82" s="10">
        <f t="shared" ref="F82:I82" si="6">F83+F88+F89</f>
        <v>609.7177099999999</v>
      </c>
      <c r="G82" s="10">
        <f t="shared" si="6"/>
        <v>21402.232699999968</v>
      </c>
      <c r="H82" s="10">
        <f>H83+H88+H89</f>
        <v>30269.767300000036</v>
      </c>
      <c r="I82" s="10">
        <f t="shared" si="6"/>
        <v>22811.266519999968</v>
      </c>
      <c r="J82" s="271"/>
    </row>
    <row r="83" spans="1:10" ht="14.1" customHeight="1" x14ac:dyDescent="0.25">
      <c r="A83" s="1"/>
      <c r="B83" s="51"/>
      <c r="C83" s="54" t="s">
        <v>23</v>
      </c>
      <c r="D83" s="55">
        <f>D84+D85+D86+D87</f>
        <v>35236</v>
      </c>
      <c r="E83" s="55">
        <f>E87+E86+E85+E84</f>
        <v>38016</v>
      </c>
      <c r="F83" s="129">
        <f t="shared" ref="F83:I83" si="7">F84+F85+F86+F87</f>
        <v>582.22501999999997</v>
      </c>
      <c r="G83" s="129">
        <f t="shared" si="7"/>
        <v>16064.96209999997</v>
      </c>
      <c r="H83" s="129">
        <f>H84+H85+H86+H87</f>
        <v>21951.037900000032</v>
      </c>
      <c r="I83" s="129">
        <f t="shared" si="7"/>
        <v>18210.566839999949</v>
      </c>
      <c r="J83" s="271"/>
    </row>
    <row r="84" spans="1:10" ht="14.1" customHeight="1" x14ac:dyDescent="0.25">
      <c r="A84" s="192"/>
      <c r="B84" s="176"/>
      <c r="C84" s="60" t="s">
        <v>24</v>
      </c>
      <c r="D84" s="61">
        <v>9425</v>
      </c>
      <c r="E84" s="61">
        <v>10530</v>
      </c>
      <c r="F84" s="123">
        <f>87.51594</f>
        <v>87.515940000000001</v>
      </c>
      <c r="G84" s="123">
        <f>2655.46110999998</f>
        <v>2655.4611099999802</v>
      </c>
      <c r="H84" s="123">
        <f t="shared" ref="H84:H93" si="8">E84-G84</f>
        <v>7874.5388900000198</v>
      </c>
      <c r="I84" s="123">
        <f>2743.19081999997</f>
        <v>2743.1908199999698</v>
      </c>
      <c r="J84" s="271"/>
    </row>
    <row r="85" spans="1:10" ht="14.1" customHeight="1" x14ac:dyDescent="0.25">
      <c r="A85" s="192"/>
      <c r="B85" s="176"/>
      <c r="C85" s="60" t="s">
        <v>48</v>
      </c>
      <c r="D85" s="61">
        <v>9801</v>
      </c>
      <c r="E85" s="61">
        <v>10962</v>
      </c>
      <c r="F85" s="123">
        <f>290.53716</f>
        <v>290.53715999999997</v>
      </c>
      <c r="G85" s="123">
        <f>5922.56308999999</f>
        <v>5922.5630899999896</v>
      </c>
      <c r="H85" s="123">
        <f t="shared" si="8"/>
        <v>5039.4369100000104</v>
      </c>
      <c r="I85" s="123">
        <f>4912.52397999998</f>
        <v>4912.5239799999799</v>
      </c>
      <c r="J85" s="271"/>
    </row>
    <row r="86" spans="1:10" ht="14.1" customHeight="1" x14ac:dyDescent="0.25">
      <c r="A86" s="192"/>
      <c r="B86" s="176"/>
      <c r="C86" s="60" t="s">
        <v>49</v>
      </c>
      <c r="D86" s="61">
        <v>9599</v>
      </c>
      <c r="E86" s="61">
        <v>9908</v>
      </c>
      <c r="F86" s="123">
        <f>105.20538</f>
        <v>105.20538000000001</v>
      </c>
      <c r="G86" s="123">
        <f>4360.79138</f>
        <v>4360.7913799999997</v>
      </c>
      <c r="H86" s="123">
        <f t="shared" si="8"/>
        <v>5547.2086200000003</v>
      </c>
      <c r="I86" s="123">
        <f>6216.39013</f>
        <v>6216.3901299999998</v>
      </c>
      <c r="J86" s="271"/>
    </row>
    <row r="87" spans="1:10" ht="14.1" customHeight="1" x14ac:dyDescent="0.25">
      <c r="A87" s="192"/>
      <c r="B87" s="176"/>
      <c r="C87" s="60" t="s">
        <v>27</v>
      </c>
      <c r="D87" s="61">
        <v>6411</v>
      </c>
      <c r="E87" s="61">
        <v>6616</v>
      </c>
      <c r="F87" s="123">
        <f>98.96654</f>
        <v>98.966539999999995</v>
      </c>
      <c r="G87" s="123">
        <f>3126.14652</f>
        <v>3126.1465199999998</v>
      </c>
      <c r="H87" s="123">
        <f t="shared" si="8"/>
        <v>3489.8534800000002</v>
      </c>
      <c r="I87" s="123">
        <f>4338.46191</f>
        <v>4338.46191</v>
      </c>
      <c r="J87" s="271"/>
    </row>
    <row r="88" spans="1:10" ht="14.1" customHeight="1" x14ac:dyDescent="0.25">
      <c r="A88" s="192"/>
      <c r="B88" s="176"/>
      <c r="C88" s="54" t="s">
        <v>50</v>
      </c>
      <c r="D88" s="55">
        <v>8339</v>
      </c>
      <c r="E88" s="55">
        <v>9513</v>
      </c>
      <c r="F88" s="129">
        <f>0.00479</f>
        <v>4.79E-3</v>
      </c>
      <c r="G88" s="129">
        <f>4038.83678</f>
        <v>4038.8367800000001</v>
      </c>
      <c r="H88" s="129">
        <f t="shared" si="8"/>
        <v>5474.1632200000004</v>
      </c>
      <c r="I88" s="129">
        <f>3499.64105</f>
        <v>3499.6410500000002</v>
      </c>
      <c r="J88" s="271"/>
    </row>
    <row r="89" spans="1:10" ht="15.75" customHeight="1" x14ac:dyDescent="0.25">
      <c r="A89" s="1"/>
      <c r="B89" s="51"/>
      <c r="C89" s="37" t="s">
        <v>11</v>
      </c>
      <c r="D89" s="59">
        <v>3706</v>
      </c>
      <c r="E89" s="59">
        <v>4143</v>
      </c>
      <c r="F89" s="72">
        <f>27.4879</f>
        <v>27.4879</v>
      </c>
      <c r="G89" s="72">
        <f>1298.43382</f>
        <v>1298.43382</v>
      </c>
      <c r="H89" s="72">
        <f t="shared" si="8"/>
        <v>2844.5661799999998</v>
      </c>
      <c r="I89" s="72">
        <f>1101.05863000002</f>
        <v>1101.05863000002</v>
      </c>
      <c r="J89" s="271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11.61987</f>
        <v>11.619870000000001</v>
      </c>
      <c r="H90" s="95">
        <f t="shared" si="8"/>
        <v>307.38013000000001</v>
      </c>
      <c r="I90" s="95">
        <f>27.17343</f>
        <v>27.17343</v>
      </c>
      <c r="J90" s="271"/>
    </row>
    <row r="91" spans="1:10" ht="18" customHeight="1" x14ac:dyDescent="0.25">
      <c r="A91" s="1"/>
      <c r="B91" s="281"/>
      <c r="C91" s="70" t="s">
        <v>51</v>
      </c>
      <c r="D91" s="140">
        <v>300</v>
      </c>
      <c r="E91" s="140">
        <v>300</v>
      </c>
      <c r="F91" s="136">
        <f>0.08636</f>
        <v>8.6360000000000006E-2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25">
      <c r="A92" s="1"/>
      <c r="B92" s="281"/>
      <c r="C92" s="89" t="s">
        <v>37</v>
      </c>
      <c r="D92" s="140">
        <v>50</v>
      </c>
      <c r="E92" s="140">
        <v>50</v>
      </c>
      <c r="F92" s="95">
        <f>0.3473</f>
        <v>0.3473</v>
      </c>
      <c r="G92" s="95">
        <f>3.93838</f>
        <v>3.93838</v>
      </c>
      <c r="H92" s="136">
        <f t="shared" si="8"/>
        <v>46.061619999999998</v>
      </c>
      <c r="I92" s="95">
        <f>11.93252</f>
        <v>11.93252</v>
      </c>
      <c r="J92" s="271"/>
    </row>
    <row r="93" spans="1:10" ht="18" customHeight="1" x14ac:dyDescent="0.25">
      <c r="A93" s="1"/>
      <c r="B93" s="281"/>
      <c r="C93" s="89" t="s">
        <v>52</v>
      </c>
      <c r="D93" s="140"/>
      <c r="E93" s="136"/>
      <c r="F93" s="136">
        <f>0</f>
        <v>0</v>
      </c>
      <c r="G93" s="136">
        <f>9.30962</f>
        <v>9.3096200000000007</v>
      </c>
      <c r="H93" s="136">
        <f t="shared" si="8"/>
        <v>-9.3096200000000007</v>
      </c>
      <c r="I93" s="136">
        <f>11.8549</f>
        <v>11.854900000000001</v>
      </c>
      <c r="J93" s="271"/>
    </row>
    <row r="94" spans="1:10" ht="16.5" customHeight="1" x14ac:dyDescent="0.2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82240</v>
      </c>
      <c r="F94" s="73">
        <f t="shared" ref="F94:I94" si="10">F79+F82+F90+F91+F92+F93</f>
        <v>629.29356999999993</v>
      </c>
      <c r="G94" s="73">
        <f t="shared" si="10"/>
        <v>43597.859489999973</v>
      </c>
      <c r="H94" s="73">
        <f>H79+H82+H90+H91+H92+H93</f>
        <v>38642.140510000034</v>
      </c>
      <c r="I94" s="73">
        <f t="shared" si="10"/>
        <v>42372.083459999973</v>
      </c>
      <c r="J94" s="271"/>
    </row>
    <row r="95" spans="1:10" ht="13.5" customHeight="1" x14ac:dyDescent="0.25">
      <c r="A95" s="1"/>
      <c r="B95" s="281"/>
      <c r="C95" s="74" t="s">
        <v>142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25">
      <c r="A97" s="1"/>
      <c r="B97" s="24"/>
      <c r="C97" s="156" t="s">
        <v>143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2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2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" customHeight="1" x14ac:dyDescent="0.2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" customHeight="1" x14ac:dyDescent="0.2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" customHeight="1" x14ac:dyDescent="0.2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" customHeight="1" x14ac:dyDescent="0.25">
      <c r="A109" s="1"/>
      <c r="B109" s="149"/>
      <c r="C109" s="161"/>
      <c r="D109" s="185"/>
      <c r="E109" s="185" t="s">
        <v>144</v>
      </c>
      <c r="F109" s="114">
        <v>4158</v>
      </c>
      <c r="G109" s="110"/>
      <c r="H109" s="161"/>
      <c r="I109" s="173"/>
      <c r="J109" s="271"/>
    </row>
    <row r="110" spans="1:10" ht="12" customHeight="1" x14ac:dyDescent="0.2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25">
      <c r="A111" s="101"/>
      <c r="B111" s="24"/>
      <c r="C111" s="101" t="s">
        <v>145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2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" customHeight="1" x14ac:dyDescent="0.2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348.08535000000001</v>
      </c>
      <c r="G115" s="10">
        <f t="shared" si="11"/>
        <v>18362.854370000001</v>
      </c>
      <c r="H115" s="10">
        <f t="shared" si="11"/>
        <v>35883.145629999999</v>
      </c>
      <c r="I115" s="10">
        <f t="shared" si="11"/>
        <v>30484.990430000002</v>
      </c>
      <c r="J115" s="271"/>
    </row>
    <row r="116" spans="1:10" ht="14.1" customHeight="1" x14ac:dyDescent="0.25">
      <c r="A116" s="1"/>
      <c r="B116" s="281"/>
      <c r="C116" s="43" t="s">
        <v>20</v>
      </c>
      <c r="D116" s="44">
        <v>43397</v>
      </c>
      <c r="E116" s="44">
        <v>43397</v>
      </c>
      <c r="F116" s="22">
        <f>348.08535</f>
        <v>348.08535000000001</v>
      </c>
      <c r="G116" s="22">
        <f>16031.38362</f>
        <v>16031.383620000001</v>
      </c>
      <c r="H116" s="22">
        <f>E116-G116</f>
        <v>27365.616379999999</v>
      </c>
      <c r="I116" s="22">
        <f>27151.05859</f>
        <v>27151.058590000001</v>
      </c>
      <c r="J116" s="271"/>
    </row>
    <row r="117" spans="1:10" ht="15" customHeight="1" x14ac:dyDescent="0.2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2258.53025</f>
        <v>2258.5302499999998</v>
      </c>
      <c r="H117" s="22">
        <f>E117-G117</f>
        <v>8090.4697500000002</v>
      </c>
      <c r="I117" s="22">
        <f>3268.57424</f>
        <v>3268.5742399999999</v>
      </c>
      <c r="J117" s="271"/>
    </row>
    <row r="118" spans="1:10" ht="13.5" customHeight="1" x14ac:dyDescent="0.25">
      <c r="A118" s="1"/>
      <c r="B118" s="281"/>
      <c r="C118" s="47" t="s">
        <v>59</v>
      </c>
      <c r="D118" s="32">
        <v>500</v>
      </c>
      <c r="E118" s="32">
        <v>500</v>
      </c>
      <c r="F118" s="22">
        <f>0</f>
        <v>0</v>
      </c>
      <c r="G118" s="22">
        <f>72.9405</f>
        <v>72.9405</v>
      </c>
      <c r="H118" s="53">
        <f>E118-G118</f>
        <v>427.05950000000001</v>
      </c>
      <c r="I118" s="22">
        <f>65.3576</f>
        <v>65.357600000000005</v>
      </c>
      <c r="J118" s="271"/>
    </row>
    <row r="119" spans="1:10" ht="14.25" customHeight="1" x14ac:dyDescent="0.25">
      <c r="A119" s="65"/>
      <c r="B119" s="75"/>
      <c r="C119" s="85" t="s">
        <v>60</v>
      </c>
      <c r="D119" s="87">
        <v>36653</v>
      </c>
      <c r="E119" s="87">
        <v>36653</v>
      </c>
      <c r="F119" s="92">
        <f>1492.919</f>
        <v>1492.9190000000001</v>
      </c>
      <c r="G119" s="92">
        <f>7356.94195+543.5592</f>
        <v>7900.5011500000001</v>
      </c>
      <c r="H119" s="92">
        <f>E119-G119</f>
        <v>28752.49885</v>
      </c>
      <c r="I119" s="92">
        <f>13212.6592</f>
        <v>13212.6592</v>
      </c>
      <c r="J119" s="111"/>
    </row>
    <row r="120" spans="1:10" ht="15.75" customHeight="1" x14ac:dyDescent="0.2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624.07231000000002</v>
      </c>
      <c r="G120" s="91">
        <f t="shared" ref="G120" si="12">G121+G126+G129</f>
        <v>21421.921900000008</v>
      </c>
      <c r="H120" s="91">
        <f>H121+H126+H129</f>
        <v>35688.078099999984</v>
      </c>
      <c r="I120" s="91">
        <f>I121+I126+I129</f>
        <v>35001.271839999994</v>
      </c>
      <c r="J120" s="117"/>
    </row>
    <row r="121" spans="1:10" ht="14.1" customHeight="1" x14ac:dyDescent="0.2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470.76066000000003</v>
      </c>
      <c r="G121" s="121">
        <f>G122+G123+G125+G124</f>
        <v>16267.728370000008</v>
      </c>
      <c r="H121" s="121">
        <f>H122+H123+H124+H125</f>
        <v>26914.271629999988</v>
      </c>
      <c r="I121" s="121">
        <f>I122+I123+I124+I125</f>
        <v>26093.25119000001</v>
      </c>
      <c r="J121" s="305"/>
    </row>
    <row r="122" spans="1:10" ht="14.1" customHeight="1" x14ac:dyDescent="0.25">
      <c r="A122" s="192"/>
      <c r="B122" s="122"/>
      <c r="C122" s="60" t="s">
        <v>24</v>
      </c>
      <c r="D122" s="61">
        <v>11476</v>
      </c>
      <c r="E122" s="61">
        <v>11476</v>
      </c>
      <c r="F122" s="123">
        <f>85.675</f>
        <v>85.674999999999997</v>
      </c>
      <c r="G122" s="123">
        <f>4436.27511</f>
        <v>4436.2751099999996</v>
      </c>
      <c r="H122" s="123">
        <f>E122-G122</f>
        <v>7039.7248900000004</v>
      </c>
      <c r="I122" s="123">
        <f>5839.87736000001</f>
        <v>5839.8773600000104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11835</v>
      </c>
      <c r="E123" s="61">
        <v>11835</v>
      </c>
      <c r="F123" s="123">
        <f>69.98689</f>
        <v>69.986890000000002</v>
      </c>
      <c r="G123" s="123">
        <f>4813.94992000001</f>
        <v>4813.94992000001</v>
      </c>
      <c r="H123" s="123">
        <f>E123-G123</f>
        <v>7021.05007999999</v>
      </c>
      <c r="I123" s="123">
        <f>7658.64519</f>
        <v>7658.6451900000002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10473</v>
      </c>
      <c r="E124" s="61">
        <v>10473</v>
      </c>
      <c r="F124" s="123">
        <f>214.16029</f>
        <v>214.16029</v>
      </c>
      <c r="G124" s="123">
        <f>3716.32701</f>
        <v>3716.32701</v>
      </c>
      <c r="H124" s="123">
        <f>E124-G124</f>
        <v>6756.67299</v>
      </c>
      <c r="I124" s="123">
        <f>6074.60423</f>
        <v>6074.6042299999999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9398</v>
      </c>
      <c r="E125" s="61">
        <v>9398</v>
      </c>
      <c r="F125" s="123">
        <f>100.93848</f>
        <v>100.93848</v>
      </c>
      <c r="G125" s="123">
        <f>3844.73553-543.5592</f>
        <v>3301.1763299999998</v>
      </c>
      <c r="H125" s="123">
        <f>E125-G125</f>
        <v>6096.8236699999998</v>
      </c>
      <c r="I125" s="123">
        <f>6520.12441</f>
        <v>6520.1244100000004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0.47411999999999999</v>
      </c>
      <c r="G126" s="129">
        <f>SUM(G127:G128)</f>
        <v>1882.20866</v>
      </c>
      <c r="H126" s="129">
        <f>H127+H128</f>
        <v>4245.7913399999998</v>
      </c>
      <c r="I126" s="129">
        <f>SUM(I127:I128)</f>
        <v>5847.6830100000006</v>
      </c>
      <c r="J126" s="130"/>
    </row>
    <row r="127" spans="1:10" ht="14.1" customHeight="1" x14ac:dyDescent="0.25">
      <c r="A127" s="1"/>
      <c r="B127" s="281"/>
      <c r="C127" s="60" t="s">
        <v>62</v>
      </c>
      <c r="D127" s="61">
        <v>5628</v>
      </c>
      <c r="E127" s="61">
        <v>5628</v>
      </c>
      <c r="F127" s="123">
        <f>0</f>
        <v>0</v>
      </c>
      <c r="G127" s="123">
        <f>1701.15652</f>
        <v>1701.15652</v>
      </c>
      <c r="H127" s="123">
        <f t="shared" ref="H127:H135" si="13">E127-G127</f>
        <v>3926.84348</v>
      </c>
      <c r="I127" s="123">
        <f>5717.68324</f>
        <v>5717.6832400000003</v>
      </c>
      <c r="J127" s="117"/>
    </row>
    <row r="128" spans="1:10" ht="15" customHeight="1" x14ac:dyDescent="0.25">
      <c r="A128" s="1"/>
      <c r="B128" s="51"/>
      <c r="C128" s="60" t="s">
        <v>63</v>
      </c>
      <c r="D128" s="61">
        <v>500</v>
      </c>
      <c r="E128" s="61">
        <v>500</v>
      </c>
      <c r="F128" s="123">
        <f>0.47412</f>
        <v>0.47411999999999999</v>
      </c>
      <c r="G128" s="123">
        <f>181.05214</f>
        <v>181.05214000000001</v>
      </c>
      <c r="H128" s="123">
        <f t="shared" si="13"/>
        <v>318.94785999999999</v>
      </c>
      <c r="I128" s="123">
        <f>129.99977</f>
        <v>129.99977000000001</v>
      </c>
      <c r="J128" s="131"/>
    </row>
    <row r="129" spans="1:10" ht="15.75" customHeight="1" x14ac:dyDescent="0.25">
      <c r="A129" s="1"/>
      <c r="B129" s="281"/>
      <c r="C129" s="37" t="s">
        <v>11</v>
      </c>
      <c r="D129" s="59">
        <v>7800</v>
      </c>
      <c r="E129" s="59">
        <v>7800</v>
      </c>
      <c r="F129" s="72">
        <f>152.83753</f>
        <v>152.83752999999999</v>
      </c>
      <c r="G129" s="72">
        <f>3271.98487</f>
        <v>3271.9848699999998</v>
      </c>
      <c r="H129" s="72">
        <f t="shared" si="13"/>
        <v>4528.0151299999998</v>
      </c>
      <c r="I129" s="72">
        <f>3060.33763999998</f>
        <v>3060.3376399999802</v>
      </c>
      <c r="J129" s="117"/>
    </row>
    <row r="130" spans="1:10" ht="15.75" customHeight="1" x14ac:dyDescent="0.25">
      <c r="A130" s="1"/>
      <c r="B130" s="281"/>
      <c r="C130" s="139" t="s">
        <v>33</v>
      </c>
      <c r="D130" s="140">
        <v>156</v>
      </c>
      <c r="E130" s="140">
        <v>156</v>
      </c>
      <c r="F130" s="136">
        <f>0.0081</f>
        <v>8.0999999999999996E-3</v>
      </c>
      <c r="G130" s="136">
        <f>13.02868</f>
        <v>13.02868</v>
      </c>
      <c r="H130" s="136">
        <f t="shared" si="13"/>
        <v>142.97131999999999</v>
      </c>
      <c r="I130" s="136">
        <f>15.5505</f>
        <v>15.5505</v>
      </c>
      <c r="J130" s="117"/>
    </row>
    <row r="131" spans="1:10" ht="15.75" customHeight="1" x14ac:dyDescent="0.25">
      <c r="A131" s="1"/>
      <c r="B131" s="281"/>
      <c r="C131" s="137" t="s">
        <v>64</v>
      </c>
      <c r="D131" s="86">
        <v>350</v>
      </c>
      <c r="E131" s="86">
        <v>350</v>
      </c>
      <c r="F131" s="95">
        <f>15.095</f>
        <v>15.095000000000001</v>
      </c>
      <c r="G131" s="95">
        <f>63.549</f>
        <v>63.548999999999999</v>
      </c>
      <c r="H131" s="95">
        <f t="shared" si="13"/>
        <v>286.45100000000002</v>
      </c>
      <c r="I131" s="95">
        <f>345.268</f>
        <v>345.26799999999997</v>
      </c>
      <c r="J131" s="117"/>
    </row>
    <row r="132" spans="1:10" ht="18" customHeight="1" x14ac:dyDescent="0.25">
      <c r="A132" s="1"/>
      <c r="B132" s="281"/>
      <c r="C132" s="137" t="s">
        <v>65</v>
      </c>
      <c r="D132" s="140">
        <v>2000</v>
      </c>
      <c r="E132" s="140">
        <v>2000</v>
      </c>
      <c r="F132" s="136">
        <f>11.98434</f>
        <v>11.98434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2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25">
      <c r="A134" s="1"/>
      <c r="B134" s="281"/>
      <c r="C134" s="139" t="s">
        <v>66</v>
      </c>
      <c r="D134" s="140">
        <v>255</v>
      </c>
      <c r="E134" s="140">
        <v>255</v>
      </c>
      <c r="F134" s="95">
        <f>0.0682</f>
        <v>6.8199999999999997E-2</v>
      </c>
      <c r="G134" s="95">
        <f>4.84933</f>
        <v>4.8493300000000001</v>
      </c>
      <c r="H134" s="136">
        <f t="shared" si="13"/>
        <v>250.15066999999999</v>
      </c>
      <c r="I134" s="95">
        <f>81.82335</f>
        <v>81.823350000000005</v>
      </c>
      <c r="J134" s="117"/>
    </row>
    <row r="135" spans="1:10" ht="15" customHeight="1" x14ac:dyDescent="0.2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64.6026</f>
        <v>64.602599999999995</v>
      </c>
      <c r="H135" s="136">
        <f t="shared" si="13"/>
        <v>-64.602599999999995</v>
      </c>
      <c r="I135" s="136">
        <f>75.06826</f>
        <v>75.068259999999995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2492.2323000000001</v>
      </c>
      <c r="G137" s="73">
        <f>G115+G119+G120+G130+G131+G132+G133+G134+G135</f>
        <v>49831.307030000011</v>
      </c>
      <c r="H137" s="73">
        <f>H115+H119+H120+H130+H131+H132+H133+H134+H135</f>
        <v>100938.69296999999</v>
      </c>
      <c r="I137" s="73">
        <f>I115+I119+I120+I130+I131+I132+I133+I134+I135</f>
        <v>81216.631580000001</v>
      </c>
      <c r="J137" s="155"/>
    </row>
    <row r="138" spans="1:10" ht="14.25" customHeight="1" x14ac:dyDescent="0.2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156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2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2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25">
      <c r="A143" s="152"/>
      <c r="B143" s="50"/>
      <c r="C143" s="74" t="s">
        <v>146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" customHeight="1" x14ac:dyDescent="0.2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" customHeight="1" x14ac:dyDescent="0.2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" customHeight="1" x14ac:dyDescent="0.2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" customHeight="1" x14ac:dyDescent="0.2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" customHeight="1" x14ac:dyDescent="0.2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2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2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" customHeight="1" x14ac:dyDescent="0.25">
      <c r="A160" s="1"/>
      <c r="B160" s="281"/>
      <c r="C160" s="138" t="s">
        <v>70</v>
      </c>
      <c r="D160" s="91">
        <v>3754</v>
      </c>
      <c r="E160" s="301">
        <f>12.5706</f>
        <v>12.570600000000001</v>
      </c>
      <c r="F160" s="301">
        <f>689.623999999999</f>
        <v>689.623999999999</v>
      </c>
      <c r="G160" s="42">
        <f>D160-F160-F161</f>
        <v>2258.7949900000012</v>
      </c>
      <c r="H160" s="301">
        <f>562.91254</f>
        <v>562.91254000000004</v>
      </c>
      <c r="I160" s="1"/>
      <c r="J160" s="117"/>
    </row>
    <row r="161" spans="1:10" ht="14.1" customHeight="1" x14ac:dyDescent="0.25">
      <c r="A161" s="1"/>
      <c r="B161" s="281"/>
      <c r="C161" s="133" t="s">
        <v>50</v>
      </c>
      <c r="D161" s="175"/>
      <c r="E161" s="148">
        <f>0</f>
        <v>0</v>
      </c>
      <c r="F161" s="148">
        <f>805.58101</f>
        <v>805.58100999999999</v>
      </c>
      <c r="G161" s="219"/>
      <c r="H161" s="148">
        <f>808.50056</f>
        <v>808.50055999999995</v>
      </c>
      <c r="I161" s="1"/>
      <c r="J161" s="117"/>
    </row>
    <row r="162" spans="1:10" ht="15.6" customHeight="1" x14ac:dyDescent="0.2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54.39313</f>
        <v>54.393129999999999</v>
      </c>
      <c r="G162" s="166">
        <f>D162-F162</f>
        <v>145.60687000000001</v>
      </c>
      <c r="H162" s="166">
        <f>51.71089</f>
        <v>51.710889999999999</v>
      </c>
      <c r="I162" s="1"/>
      <c r="J162" s="117"/>
    </row>
    <row r="163" spans="1:10" ht="14.1" customHeight="1" x14ac:dyDescent="0.25">
      <c r="A163" s="65"/>
      <c r="B163" s="75"/>
      <c r="C163" s="174" t="s">
        <v>72</v>
      </c>
      <c r="D163" s="175">
        <v>5630</v>
      </c>
      <c r="E163" s="175">
        <f>E164+E165+E166</f>
        <v>1288.91742</v>
      </c>
      <c r="F163" s="175">
        <f>F164+F165+F166</f>
        <v>3239.13186</v>
      </c>
      <c r="G163" s="175">
        <f>D163-F163</f>
        <v>2390.86814</v>
      </c>
      <c r="H163" s="175">
        <f>H164+H165+H166</f>
        <v>3306.5930799999996</v>
      </c>
      <c r="I163" s="65"/>
      <c r="J163" s="111"/>
    </row>
    <row r="164" spans="1:10" ht="14.1" customHeight="1" x14ac:dyDescent="0.25">
      <c r="A164" s="192"/>
      <c r="B164" s="176"/>
      <c r="C164" s="177" t="s">
        <v>73</v>
      </c>
      <c r="D164" s="123"/>
      <c r="E164" s="123">
        <f>782.66602</f>
        <v>782.66602</v>
      </c>
      <c r="F164" s="123">
        <f>1771.97382</f>
        <v>1771.9738199999999</v>
      </c>
      <c r="G164" s="123"/>
      <c r="H164" s="123">
        <f>1650.16471</f>
        <v>1650.16471</v>
      </c>
      <c r="I164" s="181"/>
      <c r="J164" s="126"/>
    </row>
    <row r="165" spans="1:10" ht="14.1" customHeight="1" x14ac:dyDescent="0.25">
      <c r="A165" s="192"/>
      <c r="B165" s="176"/>
      <c r="C165" s="177" t="s">
        <v>74</v>
      </c>
      <c r="D165" s="123"/>
      <c r="E165" s="123">
        <f>357.00032</f>
        <v>357.00031999999999</v>
      </c>
      <c r="F165" s="123">
        <f>1046.18632</f>
        <v>1046.18632</v>
      </c>
      <c r="G165" s="123"/>
      <c r="H165" s="123">
        <f>1079.40539</f>
        <v>1079.4053899999999</v>
      </c>
      <c r="I165" s="181"/>
      <c r="J165" s="182"/>
    </row>
    <row r="166" spans="1:10" ht="14.1" customHeight="1" x14ac:dyDescent="0.25">
      <c r="A166" s="192"/>
      <c r="B166" s="176"/>
      <c r="C166" s="183" t="s">
        <v>75</v>
      </c>
      <c r="D166" s="186"/>
      <c r="E166" s="186">
        <f>149.25108</f>
        <v>149.25108</v>
      </c>
      <c r="F166" s="186">
        <f>420.97172</f>
        <v>420.97172</v>
      </c>
      <c r="G166" s="186"/>
      <c r="H166" s="186">
        <f>577.02298</f>
        <v>577.02297999999996</v>
      </c>
      <c r="I166" s="181"/>
      <c r="J166" s="182"/>
    </row>
    <row r="167" spans="1:10" ht="14.1" customHeight="1" x14ac:dyDescent="0.2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8.70186</f>
        <v>8.7018599999999999</v>
      </c>
      <c r="G167" s="136">
        <f>D167-F167</f>
        <v>82.298140000000004</v>
      </c>
      <c r="H167" s="136">
        <f>5.3531</f>
        <v>5.3531000000000004</v>
      </c>
      <c r="I167" s="173"/>
      <c r="J167" s="271"/>
    </row>
    <row r="168" spans="1:10" ht="16.5" customHeight="1" x14ac:dyDescent="0.2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1301.48802</v>
      </c>
      <c r="F169" s="188">
        <f>F160+F161+F162+F163+F167+F168</f>
        <v>4797.4318599999988</v>
      </c>
      <c r="G169" s="188">
        <f>D169-F169</f>
        <v>4877.5681400000012</v>
      </c>
      <c r="H169" s="188">
        <f>H160+H161+H162+H163+H167+H168</f>
        <v>4735.07017</v>
      </c>
      <c r="I169" s="159"/>
      <c r="J169" s="155"/>
    </row>
    <row r="170" spans="1:10" ht="42" customHeight="1" x14ac:dyDescent="0.25">
      <c r="A170" s="1"/>
      <c r="B170" s="193"/>
      <c r="C170" s="254" t="s">
        <v>147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2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2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81"/>
      <c r="C182" s="101" t="s">
        <v>148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81"/>
      <c r="C183" s="101" t="s">
        <v>149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81"/>
      <c r="C184" s="101" t="s">
        <v>150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2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81"/>
      <c r="C189" s="90" t="s">
        <v>4</v>
      </c>
      <c r="D189" s="124">
        <v>45561</v>
      </c>
      <c r="E189" s="124">
        <v>42740</v>
      </c>
      <c r="F189" s="124">
        <f>982.94339</f>
        <v>982.94339000000002</v>
      </c>
      <c r="G189" s="124">
        <f>25806.33573</f>
        <v>25806.335729999999</v>
      </c>
      <c r="H189" s="124">
        <f>E189-G189</f>
        <v>16933.664270000001</v>
      </c>
      <c r="I189" s="124">
        <f>31834.94799</f>
        <v>31834.947990000001</v>
      </c>
      <c r="J189" s="117"/>
    </row>
    <row r="190" spans="1:10" ht="15" customHeight="1" x14ac:dyDescent="0.25">
      <c r="A190" s="1"/>
      <c r="B190" s="281"/>
      <c r="C190" s="90" t="s">
        <v>63</v>
      </c>
      <c r="D190" s="124">
        <v>100</v>
      </c>
      <c r="E190" s="124">
        <v>100</v>
      </c>
      <c r="F190" s="124">
        <f>0.2328</f>
        <v>0.23280000000000001</v>
      </c>
      <c r="G190" s="124">
        <f>13.45356</f>
        <v>13.45356</v>
      </c>
      <c r="H190" s="124">
        <f>E190-G190</f>
        <v>86.546440000000004</v>
      </c>
      <c r="I190" s="124">
        <f>19.07282</f>
        <v>19.07282</v>
      </c>
      <c r="J190" s="117"/>
    </row>
    <row r="191" spans="1:10" ht="15.75" customHeight="1" x14ac:dyDescent="0.2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2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983.17619000000002</v>
      </c>
      <c r="G192" s="190">
        <f>SUM(G189:G191)</f>
        <v>25819.789290000001</v>
      </c>
      <c r="H192" s="190">
        <f>E192-G192</f>
        <v>17066.210709999999</v>
      </c>
      <c r="I192" s="190">
        <f>SUM(I189:I191)</f>
        <v>31854.020810000002</v>
      </c>
      <c r="J192" s="117"/>
    </row>
    <row r="193" spans="1:10" ht="12" customHeight="1" x14ac:dyDescent="0.2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243" t="s">
        <v>151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2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81"/>
      <c r="C202" s="90" t="s">
        <v>112</v>
      </c>
      <c r="D202" s="124">
        <v>3202</v>
      </c>
      <c r="E202" s="72">
        <f>E203+E204</f>
        <v>13.20684</v>
      </c>
      <c r="F202" s="72">
        <f>F203+F204</f>
        <v>2717.14516</v>
      </c>
      <c r="G202" s="72">
        <f>D202-F202</f>
        <v>484.85483999999997</v>
      </c>
      <c r="H202" s="72">
        <f>H203+H204</f>
        <v>2723.4938299999999</v>
      </c>
      <c r="I202" s="275"/>
      <c r="J202" s="117"/>
    </row>
    <row r="203" spans="1:10" ht="15" customHeight="1" x14ac:dyDescent="0.25">
      <c r="A203" s="1"/>
      <c r="B203" s="281"/>
      <c r="C203" s="172" t="s">
        <v>8</v>
      </c>
      <c r="D203" s="124"/>
      <c r="E203" s="72">
        <f>3.74904</f>
        <v>3.7490399999999999</v>
      </c>
      <c r="F203" s="72">
        <f>2172.5755</f>
        <v>2172.5754999999999</v>
      </c>
      <c r="G203" s="72"/>
      <c r="H203" s="72">
        <f>2201.29416</f>
        <v>2201.2941599999999</v>
      </c>
      <c r="I203" s="275"/>
      <c r="J203" s="117"/>
    </row>
    <row r="204" spans="1:10" ht="15" customHeight="1" x14ac:dyDescent="0.25">
      <c r="A204" s="1"/>
      <c r="B204" s="281"/>
      <c r="C204" s="172" t="s">
        <v>63</v>
      </c>
      <c r="D204" s="124"/>
      <c r="E204" s="124">
        <f>9.4578</f>
        <v>9.4578000000000007</v>
      </c>
      <c r="F204" s="124">
        <f>544.56966</f>
        <v>544.56966</v>
      </c>
      <c r="G204" s="168"/>
      <c r="H204" s="124">
        <f>522.19967</f>
        <v>522.19966999999997</v>
      </c>
      <c r="I204" s="275"/>
      <c r="J204" s="117"/>
    </row>
    <row r="205" spans="1:10" ht="15" customHeight="1" x14ac:dyDescent="0.25">
      <c r="A205" s="1"/>
      <c r="B205" s="281"/>
      <c r="C205" s="90" t="s">
        <v>113</v>
      </c>
      <c r="D205" s="124">
        <v>3704</v>
      </c>
      <c r="E205" s="72">
        <f>126.25308</f>
        <v>126.25308</v>
      </c>
      <c r="F205" s="72">
        <f>2593.2118</f>
        <v>2593.2118</v>
      </c>
      <c r="G205" s="72">
        <f>D205-F205</f>
        <v>1110.7882</v>
      </c>
      <c r="H205" s="72">
        <f>3774.90829</f>
        <v>3774.9082899999999</v>
      </c>
      <c r="I205" s="275"/>
      <c r="J205" s="117"/>
    </row>
    <row r="206" spans="1:10" ht="16.5" customHeight="1" x14ac:dyDescent="0.25">
      <c r="A206" s="1"/>
      <c r="B206" s="281"/>
      <c r="C206" s="179" t="s">
        <v>82</v>
      </c>
      <c r="D206" s="190">
        <f>D205+D202</f>
        <v>6906</v>
      </c>
      <c r="E206" s="190">
        <f>SUM(E202,E205)</f>
        <v>139.45992000000001</v>
      </c>
      <c r="F206" s="190">
        <f>SUM(F202,F205)</f>
        <v>5310.3569600000001</v>
      </c>
      <c r="G206" s="190">
        <f>D206-F206</f>
        <v>1595.6430399999999</v>
      </c>
      <c r="H206" s="190">
        <f>SUM(H202,H205)</f>
        <v>6498.4021199999997</v>
      </c>
      <c r="I206" s="275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2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81"/>
      <c r="C215" s="90" t="s">
        <v>112</v>
      </c>
      <c r="D215" s="124">
        <v>5516</v>
      </c>
      <c r="E215" s="72">
        <f>E216+E217</f>
        <v>2.7525400000000002</v>
      </c>
      <c r="F215" s="72">
        <f>F216+F217</f>
        <v>4569.1212299999997</v>
      </c>
      <c r="G215" s="72">
        <f>D215-F215</f>
        <v>946.87877000000026</v>
      </c>
      <c r="H215" s="72">
        <f>H216+H217</f>
        <v>2998.5798300000001</v>
      </c>
      <c r="I215" s="275"/>
      <c r="J215" s="117"/>
    </row>
    <row r="216" spans="1:10" ht="15" customHeight="1" x14ac:dyDescent="0.25">
      <c r="A216" s="1"/>
      <c r="B216" s="281"/>
      <c r="C216" s="172" t="s">
        <v>8</v>
      </c>
      <c r="D216" s="124"/>
      <c r="E216" s="72">
        <f>0.47364</f>
        <v>0.47364000000000001</v>
      </c>
      <c r="F216" s="72">
        <f>4230.81618</f>
        <v>4230.8161799999998</v>
      </c>
      <c r="G216" s="72"/>
      <c r="H216" s="72">
        <f>2719.93118</f>
        <v>2719.93118</v>
      </c>
      <c r="I216" s="275"/>
      <c r="J216" s="117"/>
    </row>
    <row r="217" spans="1:10" ht="15" customHeight="1" x14ac:dyDescent="0.25">
      <c r="A217" s="1"/>
      <c r="B217" s="281"/>
      <c r="C217" s="172" t="s">
        <v>63</v>
      </c>
      <c r="D217" s="124"/>
      <c r="E217" s="124">
        <f>2.2789</f>
        <v>2.2789000000000001</v>
      </c>
      <c r="F217" s="124">
        <f>338.30505</f>
        <v>338.30504999999999</v>
      </c>
      <c r="G217" s="168"/>
      <c r="H217" s="124">
        <f>278.64865</f>
        <v>278.64864999999998</v>
      </c>
      <c r="I217" s="275"/>
      <c r="J217" s="117"/>
    </row>
    <row r="218" spans="1:10" ht="15" customHeight="1" x14ac:dyDescent="0.25">
      <c r="A218" s="1"/>
      <c r="B218" s="281"/>
      <c r="C218" s="90" t="s">
        <v>113</v>
      </c>
      <c r="D218" s="124">
        <v>3232</v>
      </c>
      <c r="E218" s="72">
        <f>117.61578</f>
        <v>117.61578</v>
      </c>
      <c r="F218" s="72">
        <f>2075.92453</f>
        <v>2075.9245299999998</v>
      </c>
      <c r="G218" s="72">
        <f>D218-F218</f>
        <v>1156.0754700000002</v>
      </c>
      <c r="H218" s="72">
        <f>1518.93551000001</f>
        <v>1518.93551000001</v>
      </c>
      <c r="I218" s="275"/>
      <c r="J218" s="117"/>
    </row>
    <row r="219" spans="1:10" ht="16.5" customHeight="1" x14ac:dyDescent="0.25">
      <c r="A219" s="1"/>
      <c r="B219" s="281"/>
      <c r="C219" s="179" t="s">
        <v>82</v>
      </c>
      <c r="D219" s="190">
        <f>D218+D215</f>
        <v>8748</v>
      </c>
      <c r="E219" s="190">
        <f>SUM(E215,E218)</f>
        <v>120.36832</v>
      </c>
      <c r="F219" s="190">
        <f>SUM(F215,F218)</f>
        <v>6645.0457599999991</v>
      </c>
      <c r="G219" s="190">
        <f>D219-F219</f>
        <v>2102.9542400000009</v>
      </c>
      <c r="H219" s="190">
        <f>SUM(H215,H218)</f>
        <v>4517.5153400000099</v>
      </c>
      <c r="I219" s="275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2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" customHeight="1" x14ac:dyDescent="0.2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" customHeight="1" x14ac:dyDescent="0.2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2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2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" customHeight="1" x14ac:dyDescent="0.2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2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88</v>
      </c>
      <c r="D237" s="124">
        <v>800</v>
      </c>
      <c r="E237" s="124">
        <f>0.81581</f>
        <v>0.81581000000000004</v>
      </c>
      <c r="F237" s="124">
        <f>82.4724</f>
        <v>82.472399999999993</v>
      </c>
      <c r="G237" s="124">
        <f>D237-F237</f>
        <v>717.52760000000001</v>
      </c>
      <c r="H237" s="124">
        <f>222.99129</f>
        <v>222.99128999999999</v>
      </c>
      <c r="I237" s="65"/>
      <c r="J237" s="271"/>
    </row>
    <row r="238" spans="1:10" ht="14.1" customHeight="1" x14ac:dyDescent="0.25">
      <c r="A238" s="1"/>
      <c r="B238" s="281"/>
      <c r="C238" s="90" t="s">
        <v>89</v>
      </c>
      <c r="D238" s="273">
        <v>706</v>
      </c>
      <c r="E238" s="124">
        <f>17.44868</f>
        <v>17.44868</v>
      </c>
      <c r="F238" s="124">
        <f>276.953669999999</f>
        <v>276.95366999999902</v>
      </c>
      <c r="G238" s="124">
        <f>D238-F238</f>
        <v>429.04633000000098</v>
      </c>
      <c r="H238" s="124">
        <f>385.642279999999</f>
        <v>385.642279999999</v>
      </c>
      <c r="I238" s="173"/>
      <c r="J238" s="111"/>
    </row>
    <row r="239" spans="1:10" ht="16.5" customHeight="1" x14ac:dyDescent="0.2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0.05414</f>
        <v>5.4140000000000001E-2</v>
      </c>
      <c r="I239" s="65"/>
      <c r="J239" s="276"/>
    </row>
    <row r="240" spans="1:10" ht="18.75" customHeight="1" x14ac:dyDescent="0.25">
      <c r="A240" s="65"/>
      <c r="B240" s="277"/>
      <c r="C240" s="146" t="s">
        <v>90</v>
      </c>
      <c r="D240" s="249"/>
      <c r="E240" s="168">
        <f>0.044</f>
        <v>4.3999999999999997E-2</v>
      </c>
      <c r="F240" s="168">
        <f>0.17696</f>
        <v>0.17696000000000001</v>
      </c>
      <c r="G240" s="124">
        <f>D240-F240</f>
        <v>-0.17696000000000001</v>
      </c>
      <c r="H240" s="168">
        <f>1.76872</f>
        <v>1.7687200000000001</v>
      </c>
      <c r="I240" s="309"/>
      <c r="J240" s="117"/>
    </row>
    <row r="241" spans="1:10" ht="14.1" customHeight="1" x14ac:dyDescent="0.25">
      <c r="A241" s="1"/>
      <c r="B241" s="281"/>
      <c r="C241" s="179" t="s">
        <v>82</v>
      </c>
      <c r="D241" s="5">
        <f>D226</f>
        <v>1516</v>
      </c>
      <c r="E241" s="190">
        <f>SUM(E237:E240)</f>
        <v>18.308489999999999</v>
      </c>
      <c r="F241" s="190">
        <f>SUM(F237:F240)</f>
        <v>359.64802999999904</v>
      </c>
      <c r="G241" s="190">
        <f>D241-F241</f>
        <v>1156.3519700000011</v>
      </c>
      <c r="H241" s="190">
        <f>H237+H238+H239+H240</f>
        <v>610.45642999999905</v>
      </c>
      <c r="I241" s="1"/>
      <c r="J241" s="117"/>
    </row>
    <row r="242" spans="1:10" ht="14.1" customHeight="1" x14ac:dyDescent="0.2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108</v>
      </c>
    </row>
    <row r="245" spans="1:10" ht="14.1" customHeight="1" x14ac:dyDescent="0.25">
      <c r="A245" s="1" t="s">
        <v>108</v>
      </c>
    </row>
    <row r="246" spans="1:10" ht="30" customHeight="1" x14ac:dyDescent="0.3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2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2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2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" customHeight="1" x14ac:dyDescent="0.2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35" customHeight="1" x14ac:dyDescent="0.2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35" customHeight="1" x14ac:dyDescent="0.2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2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2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" customHeight="1" x14ac:dyDescent="0.2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69.269599999999997</v>
      </c>
      <c r="G262" s="280">
        <f t="shared" si="15"/>
        <v>1610.7059400000001</v>
      </c>
      <c r="H262" s="280">
        <f>H266+H265+H264+H263</f>
        <v>17229.29406</v>
      </c>
      <c r="I262" s="280">
        <f t="shared" si="15"/>
        <v>4453.2141700000002</v>
      </c>
      <c r="J262" s="127"/>
    </row>
    <row r="263" spans="1:10" ht="14.1" customHeight="1" x14ac:dyDescent="0.25">
      <c r="A263" s="223"/>
      <c r="B263" s="69"/>
      <c r="C263" s="282" t="s">
        <v>98</v>
      </c>
      <c r="D263" s="283">
        <v>7457</v>
      </c>
      <c r="E263" s="283">
        <v>10175</v>
      </c>
      <c r="F263" s="284">
        <f>0</f>
        <v>0</v>
      </c>
      <c r="G263" s="284">
        <f>280.28341</f>
        <v>280.28341</v>
      </c>
      <c r="H263" s="284">
        <f t="shared" ref="H263:H268" si="16">E263-G263</f>
        <v>9894.71659</v>
      </c>
      <c r="I263" s="284">
        <f>1392.45773</f>
        <v>1392.4577300000001</v>
      </c>
      <c r="J263" s="127"/>
    </row>
    <row r="264" spans="1:10" ht="14.1" customHeight="1" x14ac:dyDescent="0.2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530.47251</f>
        <v>530.47251000000006</v>
      </c>
      <c r="J264" s="127"/>
    </row>
    <row r="265" spans="1:10" ht="14.1" customHeight="1" x14ac:dyDescent="0.25">
      <c r="A265" s="223"/>
      <c r="B265" s="69"/>
      <c r="C265" s="286" t="s">
        <v>95</v>
      </c>
      <c r="D265" s="283">
        <v>1338</v>
      </c>
      <c r="E265" s="283">
        <v>1407</v>
      </c>
      <c r="F265" s="284">
        <f>8.76972</f>
        <v>8.7697199999999995</v>
      </c>
      <c r="G265" s="284">
        <f>750.09929</f>
        <v>750.09929</v>
      </c>
      <c r="H265" s="284">
        <f t="shared" si="16"/>
        <v>656.90071</v>
      </c>
      <c r="I265" s="284">
        <f>973.19194</f>
        <v>973.19194000000005</v>
      </c>
      <c r="J265" s="127"/>
    </row>
    <row r="266" spans="1:10" ht="14.1" customHeight="1" x14ac:dyDescent="0.25">
      <c r="A266" s="223"/>
      <c r="B266" s="69"/>
      <c r="C266" s="288" t="s">
        <v>118</v>
      </c>
      <c r="D266" s="289">
        <v>4479</v>
      </c>
      <c r="E266" s="289">
        <v>4609</v>
      </c>
      <c r="F266" s="284">
        <f>60.49988</f>
        <v>60.499879999999997</v>
      </c>
      <c r="G266" s="284">
        <f>544.68324</f>
        <v>544.68323999999996</v>
      </c>
      <c r="H266" s="284">
        <f t="shared" si="16"/>
        <v>4064.3167600000002</v>
      </c>
      <c r="I266" s="284">
        <f>1557.09199</f>
        <v>1557.0919899999999</v>
      </c>
      <c r="J266" s="127"/>
    </row>
    <row r="267" spans="1:10" ht="14.1" customHeight="1" x14ac:dyDescent="0.25">
      <c r="A267" s="223"/>
      <c r="B267" s="69"/>
      <c r="C267" s="291" t="s">
        <v>56</v>
      </c>
      <c r="D267" s="292">
        <v>5500</v>
      </c>
      <c r="E267" s="292">
        <v>5500</v>
      </c>
      <c r="F267" s="294">
        <f>55.298</f>
        <v>55.298000000000002</v>
      </c>
      <c r="G267" s="294">
        <f>1399.217</f>
        <v>1399.2170000000001</v>
      </c>
      <c r="H267" s="294">
        <f t="shared" si="16"/>
        <v>4100.7829999999994</v>
      </c>
      <c r="I267" s="294">
        <f>3854.41224</f>
        <v>3854.4122400000001</v>
      </c>
      <c r="J267" s="127"/>
    </row>
    <row r="268" spans="1:10" ht="14.1" customHeight="1" x14ac:dyDescent="0.2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62.803699999999999</v>
      </c>
      <c r="G268" s="295">
        <f>G270+G269</f>
        <v>1075.323190000001</v>
      </c>
      <c r="H268" s="295">
        <f t="shared" si="16"/>
        <v>6924.676809999999</v>
      </c>
      <c r="I268" s="295">
        <f>I270+I269</f>
        <v>1240.7310300000011</v>
      </c>
      <c r="J268" s="127"/>
    </row>
    <row r="269" spans="1:10" ht="14.1" customHeight="1" x14ac:dyDescent="0.2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331.80881</f>
        <v>331.80880999999999</v>
      </c>
      <c r="H269" s="284"/>
      <c r="I269" s="284">
        <f>447.82058</f>
        <v>447.82058000000001</v>
      </c>
      <c r="J269" s="127"/>
    </row>
    <row r="270" spans="1:10" ht="14.1" customHeight="1" x14ac:dyDescent="0.25">
      <c r="A270" s="223"/>
      <c r="B270" s="69"/>
      <c r="C270" s="299" t="s">
        <v>99</v>
      </c>
      <c r="D270" s="300"/>
      <c r="E270" s="302"/>
      <c r="F270" s="303">
        <f>62.8037</f>
        <v>62.803699999999999</v>
      </c>
      <c r="G270" s="303">
        <f>743.514380000001</f>
        <v>743.51438000000098</v>
      </c>
      <c r="H270" s="303"/>
      <c r="I270" s="303">
        <f>792.910450000001</f>
        <v>792.91045000000099</v>
      </c>
      <c r="J270" s="127"/>
    </row>
    <row r="271" spans="1:10" ht="14.1" customHeight="1" x14ac:dyDescent="0.2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</f>
        <v>0</v>
      </c>
      <c r="H271" s="294">
        <f>E271-G271</f>
        <v>13</v>
      </c>
      <c r="I271" s="294">
        <f>0.5685</f>
        <v>0.56850000000000001</v>
      </c>
      <c r="J271" s="127"/>
    </row>
    <row r="272" spans="1:10" ht="14.1" customHeight="1" x14ac:dyDescent="0.25">
      <c r="A272" s="223"/>
      <c r="B272" s="69"/>
      <c r="C272" s="304" t="s">
        <v>100</v>
      </c>
      <c r="D272" s="307"/>
      <c r="E272" s="308"/>
      <c r="F272" s="294">
        <f>6.45572</f>
        <v>6.4557200000000003</v>
      </c>
      <c r="G272" s="294">
        <f>14.86494</f>
        <v>14.864940000000001</v>
      </c>
      <c r="H272" s="294">
        <f>E272-G272</f>
        <v>-14.864940000000001</v>
      </c>
      <c r="I272" s="294">
        <f>14.33492</f>
        <v>14.33492</v>
      </c>
      <c r="J272" s="127"/>
    </row>
    <row r="273" spans="1:10" ht="19.5" customHeight="1" x14ac:dyDescent="0.2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193.82702</v>
      </c>
      <c r="G273" s="312">
        <f t="shared" si="17"/>
        <v>4100.1110700000017</v>
      </c>
      <c r="H273" s="312">
        <f>H262+H267+H268+H271+H272</f>
        <v>28252.888930000001</v>
      </c>
      <c r="I273" s="312">
        <f t="shared" si="17"/>
        <v>9563.2608600000003</v>
      </c>
      <c r="J273" s="127"/>
    </row>
    <row r="274" spans="1:10" ht="14.1" customHeight="1" x14ac:dyDescent="0.2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152</v>
      </c>
      <c r="D275" s="314"/>
      <c r="E275" s="314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153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108</v>
      </c>
      <c r="D279" s="152"/>
    </row>
    <row r="280" spans="1:10" ht="14.1" customHeight="1" x14ac:dyDescent="0.2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" customHeight="1" x14ac:dyDescent="0.2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5" t="s">
        <v>6</v>
      </c>
      <c r="D284" s="296">
        <v>2363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2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" customHeight="1" x14ac:dyDescent="0.2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928.56393000000003</v>
      </c>
      <c r="G294" s="82">
        <f>D294-F294</f>
        <v>-149.56393000000003</v>
      </c>
      <c r="H294" s="25">
        <f>SUM(H295:H296)</f>
        <v>1023.43038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687.65275</f>
        <v>687.65274999999997</v>
      </c>
      <c r="G295" s="199"/>
      <c r="H295" s="198">
        <f>779.14308</f>
        <v>779.14308000000005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" customHeight="1" x14ac:dyDescent="0.2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646.33609999999999</v>
      </c>
      <c r="G297" s="82">
        <f>D297-F297</f>
        <v>132.66390000000001</v>
      </c>
      <c r="H297" s="25">
        <f>SUM(H298:H299)</f>
        <v>991.08674999999994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507.208</f>
        <v>507.20800000000003</v>
      </c>
      <c r="G298" s="94"/>
      <c r="H298" s="29">
        <f>767.36623</f>
        <v>767.36622999999997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223.72052</f>
        <v>223.72051999999999</v>
      </c>
      <c r="I299" s="145"/>
      <c r="J299" s="127"/>
    </row>
    <row r="300" spans="1:10" ht="14.1" customHeight="1" x14ac:dyDescent="0.25">
      <c r="A300" s="223"/>
      <c r="B300" s="69"/>
      <c r="C300" s="291" t="s">
        <v>107</v>
      </c>
      <c r="D300" s="9">
        <v>805</v>
      </c>
      <c r="E300" s="34">
        <f>SUM(E301:E302)</f>
        <v>54.35519</v>
      </c>
      <c r="F300" s="34">
        <f>SUM(F301:F302)</f>
        <v>584.94128000000001</v>
      </c>
      <c r="G300" s="82">
        <f>D300-F300</f>
        <v>220.05871999999999</v>
      </c>
      <c r="H300" s="34">
        <f>SUM(H301:H302)</f>
        <v>691.52895999999998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48.61999</f>
        <v>48.619990000000001</v>
      </c>
      <c r="F301" s="29">
        <f>432.90373</f>
        <v>432.90373</v>
      </c>
      <c r="G301" s="94"/>
      <c r="H301" s="29">
        <f>475.71354</f>
        <v>475.71354000000002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8"/>
      <c r="E302" s="29">
        <f>5.7352</f>
        <v>5.7351999999999999</v>
      </c>
      <c r="F302" s="29">
        <f>152.03755</f>
        <v>152.03755000000001</v>
      </c>
      <c r="G302" s="105"/>
      <c r="H302" s="29">
        <f>215.81542</f>
        <v>215.81541999999999</v>
      </c>
      <c r="I302" s="145"/>
      <c r="J302" s="127"/>
    </row>
    <row r="303" spans="1:10" ht="14.1" customHeight="1" x14ac:dyDescent="0.2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10" t="s">
        <v>82</v>
      </c>
      <c r="D304" s="38">
        <f>D294+D297+D300</f>
        <v>2363</v>
      </c>
      <c r="E304" s="39">
        <f>E294+E297+E300+E303</f>
        <v>54.35519</v>
      </c>
      <c r="F304" s="39">
        <f>F294+F297+F300+F303</f>
        <v>2159.8413099999998</v>
      </c>
      <c r="G304" s="40">
        <f>D304-F304</f>
        <v>203.15869000000021</v>
      </c>
      <c r="H304" s="39">
        <f>H294+H297+H300+H303</f>
        <v>2706.0460899999998</v>
      </c>
      <c r="I304" s="26"/>
      <c r="J304" s="127"/>
    </row>
    <row r="305" spans="1:10" ht="42" customHeight="1" x14ac:dyDescent="0.2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108</v>
      </c>
      <c r="D307" s="152"/>
    </row>
    <row r="308" spans="1:10" ht="15.6" customHeight="1" x14ac:dyDescent="0.2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8.95" customHeight="1" x14ac:dyDescent="0.25">
      <c r="A309" s="223"/>
      <c r="B309" s="69"/>
      <c r="C309" s="233" t="s">
        <v>123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124</v>
      </c>
      <c r="E311" s="212" t="s">
        <v>125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126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0" t="s">
        <v>154</v>
      </c>
      <c r="D316" s="320"/>
      <c r="E316" s="320"/>
      <c r="F316" s="320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2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25">
      <c r="A322" s="223"/>
      <c r="B322" s="69"/>
      <c r="C322" s="236" t="s">
        <v>132</v>
      </c>
      <c r="D322" s="237">
        <v>238</v>
      </c>
      <c r="E322" s="29">
        <f>1.88173</f>
        <v>1.8817299999999999</v>
      </c>
      <c r="F322" s="29">
        <f>192.41033</f>
        <v>192.41032999999999</v>
      </c>
      <c r="G322" s="238">
        <f>D322-F322</f>
        <v>45.589670000000012</v>
      </c>
      <c r="H322" s="29">
        <f>96.5090999999998</f>
        <v>96.509099999999805</v>
      </c>
      <c r="I322" s="242"/>
      <c r="J322" s="127"/>
    </row>
    <row r="323" spans="1:10" ht="17.45" customHeight="1" x14ac:dyDescent="0.25">
      <c r="A323" s="223"/>
      <c r="B323" s="69"/>
      <c r="C323" s="239" t="s">
        <v>133</v>
      </c>
      <c r="D323" s="240">
        <v>21237</v>
      </c>
      <c r="E323" s="29">
        <f>98.62769</f>
        <v>98.627690000000001</v>
      </c>
      <c r="F323" s="29">
        <f>412.972050000001</f>
        <v>412.97205000000099</v>
      </c>
      <c r="G323" s="241">
        <f>D323-F323</f>
        <v>20824.02795</v>
      </c>
      <c r="H323" s="29">
        <f>448.282840000001</f>
        <v>448.28284000000099</v>
      </c>
      <c r="I323" s="26"/>
      <c r="J323" s="127"/>
    </row>
    <row r="324" spans="1:10" ht="17.100000000000001" customHeight="1" x14ac:dyDescent="0.25">
      <c r="A324" s="223"/>
      <c r="B324" s="69"/>
      <c r="C324" s="310" t="s">
        <v>82</v>
      </c>
      <c r="D324" s="229">
        <f>D322+D323</f>
        <v>21475</v>
      </c>
      <c r="E324" s="39">
        <f>E323+E322</f>
        <v>100.50942000000001</v>
      </c>
      <c r="F324" s="39">
        <f>F323+F322</f>
        <v>605.38238000000092</v>
      </c>
      <c r="G324" s="39">
        <f>G323+G322</f>
        <v>20869.617620000001</v>
      </c>
      <c r="H324" s="39">
        <f>H323+H322</f>
        <v>544.79194000000075</v>
      </c>
      <c r="I324" s="26"/>
      <c r="J324" s="127"/>
    </row>
    <row r="325" spans="1:10" ht="22.5" customHeight="1" x14ac:dyDescent="0.25">
      <c r="A325" s="223"/>
      <c r="B325" s="69"/>
      <c r="C325" s="318" t="s">
        <v>155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108</v>
      </c>
      <c r="D328" s="152"/>
    </row>
    <row r="329" spans="1:10" ht="0" hidden="1" customHeight="1" x14ac:dyDescent="0.2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25">
      <c r="A330" s="223"/>
      <c r="B330" s="69"/>
      <c r="C330" s="233" t="s">
        <v>123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124</v>
      </c>
      <c r="E332" s="212" t="s">
        <v>125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126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7" t="s">
        <v>127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25">
      <c r="A342" s="223"/>
      <c r="B342" s="193"/>
      <c r="C342" s="19" t="s">
        <v>103</v>
      </c>
      <c r="D342" s="19" t="s">
        <v>1</v>
      </c>
      <c r="E342" s="250" t="s">
        <v>128</v>
      </c>
      <c r="F342" s="250" t="s">
        <v>129</v>
      </c>
      <c r="G342" s="250" t="s">
        <v>130</v>
      </c>
      <c r="H342" s="224" t="s">
        <v>131</v>
      </c>
      <c r="I342" s="251"/>
      <c r="J342" s="13"/>
    </row>
    <row r="343" spans="1:10" ht="0" hidden="1" customHeight="1" x14ac:dyDescent="0.25">
      <c r="A343" s="223"/>
      <c r="B343" s="69"/>
      <c r="C343" s="225" t="s">
        <v>132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91" t="s">
        <v>133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8" t="s">
        <v>134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23&amp;R08.06.2026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2026-06-11T08:46:02Z</dcterms:modified>
</cp:coreProperties>
</file>