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D8DDD03F-9600-403C-BE29-70D70AFB6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" l="1"/>
  <c r="G132" i="1"/>
  <c r="H132" i="1" s="1"/>
  <c r="H419" i="1"/>
  <c r="F419" i="1"/>
  <c r="E419" i="1"/>
  <c r="H418" i="1"/>
  <c r="H417" i="1" s="1"/>
  <c r="F418" i="1"/>
  <c r="F417" i="1" s="1"/>
  <c r="E418" i="1"/>
  <c r="E417" i="1" s="1"/>
  <c r="H416" i="1"/>
  <c r="F416" i="1"/>
  <c r="E416" i="1"/>
  <c r="E414" i="1" s="1"/>
  <c r="H415" i="1"/>
  <c r="H414" i="1" s="1"/>
  <c r="F415" i="1"/>
  <c r="F414" i="1" s="1"/>
  <c r="E415" i="1"/>
  <c r="H413" i="1"/>
  <c r="F413" i="1"/>
  <c r="F411" i="1" s="1"/>
  <c r="E413" i="1"/>
  <c r="H412" i="1"/>
  <c r="H411" i="1" s="1"/>
  <c r="H421" i="1" s="1"/>
  <c r="F412" i="1"/>
  <c r="E412" i="1"/>
  <c r="E411" i="1"/>
  <c r="I388" i="1"/>
  <c r="G388" i="1"/>
  <c r="H388" i="1" s="1"/>
  <c r="F388" i="1"/>
  <c r="I387" i="1"/>
  <c r="G387" i="1"/>
  <c r="H387" i="1" s="1"/>
  <c r="F387" i="1"/>
  <c r="I386" i="1"/>
  <c r="I384" i="1" s="1"/>
  <c r="G386" i="1"/>
  <c r="F386" i="1"/>
  <c r="F384" i="1" s="1"/>
  <c r="I385" i="1"/>
  <c r="G385" i="1"/>
  <c r="F385" i="1"/>
  <c r="G384" i="1"/>
  <c r="H384" i="1" s="1"/>
  <c r="I383" i="1"/>
  <c r="H383" i="1"/>
  <c r="G383" i="1"/>
  <c r="F383" i="1"/>
  <c r="I382" i="1"/>
  <c r="G382" i="1"/>
  <c r="G378" i="1" s="1"/>
  <c r="G389" i="1" s="1"/>
  <c r="F382" i="1"/>
  <c r="I381" i="1"/>
  <c r="I378" i="1" s="1"/>
  <c r="I389" i="1" s="1"/>
  <c r="H381" i="1"/>
  <c r="G381" i="1"/>
  <c r="F381" i="1"/>
  <c r="I380" i="1"/>
  <c r="G380" i="1"/>
  <c r="H380" i="1" s="1"/>
  <c r="F380" i="1"/>
  <c r="I379" i="1"/>
  <c r="H379" i="1"/>
  <c r="G379" i="1"/>
  <c r="F379" i="1"/>
  <c r="F378" i="1"/>
  <c r="E378" i="1"/>
  <c r="E389" i="1" s="1"/>
  <c r="D378" i="1"/>
  <c r="D389" i="1" s="1"/>
  <c r="H370" i="1"/>
  <c r="F370" i="1"/>
  <c r="D352" i="1"/>
  <c r="G352" i="1" s="1"/>
  <c r="H351" i="1"/>
  <c r="F351" i="1"/>
  <c r="E351" i="1"/>
  <c r="H350" i="1"/>
  <c r="F350" i="1"/>
  <c r="G350" i="1" s="1"/>
  <c r="E350" i="1"/>
  <c r="H349" i="1"/>
  <c r="G349" i="1"/>
  <c r="F349" i="1"/>
  <c r="E349" i="1"/>
  <c r="H348" i="1"/>
  <c r="H352" i="1" s="1"/>
  <c r="F348" i="1"/>
  <c r="F352" i="1" s="1"/>
  <c r="E348" i="1"/>
  <c r="E352" i="1" s="1"/>
  <c r="D341" i="1"/>
  <c r="H296" i="1"/>
  <c r="F296" i="1"/>
  <c r="E296" i="1"/>
  <c r="E297" i="1" s="1"/>
  <c r="H295" i="1"/>
  <c r="H297" i="1" s="1"/>
  <c r="F295" i="1"/>
  <c r="E295" i="1"/>
  <c r="H294" i="1"/>
  <c r="F294" i="1"/>
  <c r="F297" i="1" s="1"/>
  <c r="G297" i="1" s="1"/>
  <c r="E294" i="1"/>
  <c r="F252" i="1"/>
  <c r="G252" i="1" s="1"/>
  <c r="H251" i="1"/>
  <c r="F251" i="1"/>
  <c r="E251" i="1"/>
  <c r="H250" i="1"/>
  <c r="F250" i="1"/>
  <c r="E250" i="1"/>
  <c r="E252" i="1" s="1"/>
  <c r="H249" i="1"/>
  <c r="H252" i="1" s="1"/>
  <c r="F249" i="1"/>
  <c r="E249" i="1"/>
  <c r="D207" i="1"/>
  <c r="G207" i="1" s="1"/>
  <c r="G206" i="1"/>
  <c r="H205" i="1"/>
  <c r="H207" i="1" s="1"/>
  <c r="F205" i="1"/>
  <c r="G205" i="1" s="1"/>
  <c r="E205" i="1"/>
  <c r="H204" i="1"/>
  <c r="G204" i="1"/>
  <c r="F204" i="1"/>
  <c r="F207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G177" i="1"/>
  <c r="F177" i="1"/>
  <c r="E177" i="1"/>
  <c r="H176" i="1"/>
  <c r="F176" i="1"/>
  <c r="E176" i="1"/>
  <c r="H175" i="1"/>
  <c r="H184" i="1" s="1"/>
  <c r="F175" i="1"/>
  <c r="E175" i="1"/>
  <c r="E184" i="1" s="1"/>
  <c r="D150" i="1"/>
  <c r="H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G141" i="1"/>
  <c r="H141" i="1" s="1"/>
  <c r="F141" i="1"/>
  <c r="I140" i="1"/>
  <c r="I139" i="1" s="1"/>
  <c r="G140" i="1"/>
  <c r="G139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F135" i="1"/>
  <c r="F134" i="1" s="1"/>
  <c r="F133" i="1" s="1"/>
  <c r="I134" i="1"/>
  <c r="G134" i="1"/>
  <c r="E134" i="1"/>
  <c r="E133" i="1"/>
  <c r="E150" i="1" s="1"/>
  <c r="I132" i="1"/>
  <c r="F132" i="1"/>
  <c r="H131" i="1"/>
  <c r="I130" i="1"/>
  <c r="I128" i="1" s="1"/>
  <c r="G130" i="1"/>
  <c r="G128" i="1" s="1"/>
  <c r="F130" i="1"/>
  <c r="I129" i="1"/>
  <c r="G129" i="1"/>
  <c r="H129" i="1" s="1"/>
  <c r="F129" i="1"/>
  <c r="F128" i="1"/>
  <c r="F150" i="1" s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F96" i="1" s="1"/>
  <c r="F95" i="1" s="1"/>
  <c r="I97" i="1"/>
  <c r="I96" i="1" s="1"/>
  <c r="I95" i="1" s="1"/>
  <c r="H97" i="1"/>
  <c r="H96" i="1" s="1"/>
  <c r="H95" i="1" s="1"/>
  <c r="G97" i="1"/>
  <c r="F97" i="1"/>
  <c r="E96" i="1"/>
  <c r="E95" i="1" s="1"/>
  <c r="E107" i="1" s="1"/>
  <c r="D96" i="1"/>
  <c r="D95" i="1"/>
  <c r="D107" i="1" s="1"/>
  <c r="I94" i="1"/>
  <c r="I92" i="1" s="1"/>
  <c r="H94" i="1"/>
  <c r="G94" i="1"/>
  <c r="F94" i="1"/>
  <c r="I93" i="1"/>
  <c r="G93" i="1"/>
  <c r="G92" i="1" s="1"/>
  <c r="F93" i="1"/>
  <c r="F92" i="1" s="1"/>
  <c r="E92" i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I34" i="1" s="1"/>
  <c r="G35" i="1"/>
  <c r="G34" i="1" s="1"/>
  <c r="F35" i="1"/>
  <c r="F34" i="1" s="1"/>
  <c r="I33" i="1"/>
  <c r="G33" i="1"/>
  <c r="H33" i="1" s="1"/>
  <c r="F33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G25" i="1"/>
  <c r="G23" i="1" s="1"/>
  <c r="F25" i="1"/>
  <c r="I24" i="1"/>
  <c r="I23" i="1" s="1"/>
  <c r="H24" i="1"/>
  <c r="G24" i="1"/>
  <c r="F24" i="1"/>
  <c r="F23" i="1"/>
  <c r="H16" i="1"/>
  <c r="F16" i="1"/>
  <c r="D16" i="1"/>
  <c r="I27" i="1" l="1"/>
  <c r="I26" i="1" s="1"/>
  <c r="I44" i="1" s="1"/>
  <c r="G27" i="1"/>
  <c r="I107" i="1"/>
  <c r="F421" i="1"/>
  <c r="G150" i="1"/>
  <c r="F107" i="1"/>
  <c r="I150" i="1"/>
  <c r="H27" i="1"/>
  <c r="I133" i="1"/>
  <c r="F389" i="1"/>
  <c r="E421" i="1"/>
  <c r="G26" i="1"/>
  <c r="G44" i="1" s="1"/>
  <c r="H34" i="1"/>
  <c r="F27" i="1"/>
  <c r="F26" i="1" s="1"/>
  <c r="F44" i="1" s="1"/>
  <c r="F184" i="1"/>
  <c r="G184" i="1" s="1"/>
  <c r="G96" i="1"/>
  <c r="G95" i="1" s="1"/>
  <c r="G107" i="1" s="1"/>
  <c r="H130" i="1"/>
  <c r="H128" i="1" s="1"/>
  <c r="H140" i="1"/>
  <c r="H139" i="1" s="1"/>
  <c r="H133" i="1" s="1"/>
  <c r="G175" i="1"/>
  <c r="H25" i="1"/>
  <c r="H23" i="1" s="1"/>
  <c r="H35" i="1"/>
  <c r="H93" i="1"/>
  <c r="H92" i="1" s="1"/>
  <c r="H107" i="1" s="1"/>
  <c r="G348" i="1"/>
  <c r="H382" i="1"/>
  <c r="H378" i="1" s="1"/>
  <c r="H389" i="1" s="1"/>
  <c r="H150" i="1" l="1"/>
  <c r="H26" i="1"/>
  <c r="H44" i="1" s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<sst xmlns="http://schemas.openxmlformats.org/spreadsheetml/2006/main" count="358" uniqueCount="150">
  <si>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</si>
  <si>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</si>
  <si>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</si>
  <si>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</si>
  <si>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</si>
  <si>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</si>
  <si>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</si>
  <si>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</si>
  <si>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</si>
  <si>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</si>
  <si>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</si>
  <si>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</si>
  <si>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</si>
  <si>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</si>
  <si>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</si>
  <si>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</si>
  <si>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</si>
  <si>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</si>
  <si>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</si>
  <si>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</si>
  <si>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</si>
  <si>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</si>
  <si>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</si>
  <si>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</si>
  <si>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</si>
  <si>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</si>
  <si>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</si>
  <si>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</si>
  <si>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</si>
  <si>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</si>
  <si>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</si>
  <si>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</si>
  <si>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</si>
  <si>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</si>
  <si>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</si>
  <si>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</si>
  <si>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</si>
  <si>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</si>
  <si>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</si>
  <si>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</si>
  <si>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</si>
  <si>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</si>
  <si>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</si>
  <si>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</si>
  <si>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</si>
  <si>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</si>
  <si>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</si>
  <si>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</si>
  <si>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</si>
  <si>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</si>
  <si>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</si>
  <si>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</si>
  <si>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</si>
  <si>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</si>
  <si>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</si>
  <si>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</si>
  <si>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</si>
  <si>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</si>
  <si>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</si>
  <si>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</si>
  <si>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</si>
  <si>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</si>
  <si>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</si>
  <si>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</si>
  <si>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</si>
  <si>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</si>
  <si>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</si>
  <si>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</si>
  <si>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</si>
  <si>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</si>
  <si>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</si>
  <si>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</si>
  <si>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</si>
  <si>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</si>
  <si>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</si>
  <si>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</si>
  <si>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</si>
  <si>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</si>
  <si>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</si>
  <si>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</si>
  <si>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</si>
  <si>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</si>
  <si>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</si>
  <si>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</si>
  <si>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</si>
  <si>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</si>
  <si>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</si>
  <si>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</si>
  <si>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</si>
  <si>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</si>
  <si>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</si>
  <si>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</si>
  <si>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</si>
  <si>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</si>
  <si>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</si>
  <si>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</si>
  <si>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</si>
  <si>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</si>
  <si>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</si>
  <si>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</si>
  <si>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</si>
  <si>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</si>
  <si>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</si>
  <si>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</si>
  <si>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</si>
  <si>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</si>
  <si>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</si>
  <si>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</si>
  <si>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</si>
  <si>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</si>
  <si>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</si>
  <si>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</si>
  <si>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</si>
  <si>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</si>
  <si>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</si>
  <si>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</si>
  <si>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</si>
  <si>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</si>
  <si>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</si>
  <si>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</si>
  <si>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</si>
  <si>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</si>
  <si>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</si>
  <si>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</si>
  <si>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</si>
  <si>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</si>
  <si>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</si>
  <si>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</si>
  <si>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</si>
  <si>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</si>
  <si>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</si>
  <si>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</si>
  <si>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</si>
  <si>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</si>
  <si>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</si>
  <si>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</si>
  <si>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</si>
  <si>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</si>
  <si>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</si>
  <si>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</si>
  <si>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</si>
  <si>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</si>
  <si>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36</t>
  </si>
  <si>
    <t>FANGST T.O.M UKE 36</t>
  </si>
  <si>
    <t>RESTKVOTER UKE 36</t>
  </si>
  <si>
    <t>FANGST T.O.M UKE 36 2022</t>
  </si>
  <si>
    <r>
      <t xml:space="preserve">3 </t>
    </r>
    <r>
      <rPr>
        <sz val="9"/>
        <color indexed="8"/>
        <rFont val="Calibri"/>
        <family val="2"/>
      </rPr>
      <t>Registrert rekreasjonsfiske utgjør 695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</si>
  <si>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</si>
  <si>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631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</si>
  <si>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6 400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</si>
</sst>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139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70.433999999999997</v>
      </c>
      <c r="G23" s="28">
        <f t="shared" si="0"/>
        <v>55266.877619999999</v>
      </c>
      <c r="H23" s="11">
        <f t="shared" si="0"/>
        <v>31560.122379999997</v>
      </c>
      <c r="I23" s="11">
        <f t="shared" si="0"/>
        <v>71865.492999999988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39.0285</f>
        <v>39.028500000000001</v>
      </c>
      <c r="G24" s="23">
        <f>54863.88227</f>
        <v>54863.882270000002</v>
      </c>
      <c r="H24" s="23">
        <f>E24-G24</f>
        <v>31181.117729999998</v>
      </c>
      <c r="I24" s="23">
        <f>71481.41603</f>
        <v>71481.416029999993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31.4055</f>
        <v>31.4055</v>
      </c>
      <c r="G25" s="23">
        <f>402.99535</f>
        <v>402.99534999999997</v>
      </c>
      <c r="H25" s="23">
        <f>E25-G25</f>
        <v>379.00465000000003</v>
      </c>
      <c r="I25" s="23">
        <f>384.07697</f>
        <v>384.07697000000002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677.32702999999992</v>
      </c>
      <c r="G26" s="11">
        <f t="shared" si="1"/>
        <v>175837.8149</v>
      </c>
      <c r="H26" s="11">
        <f t="shared" si="1"/>
        <v>21732.185099999999</v>
      </c>
      <c r="I26" s="11">
        <f t="shared" si="1"/>
        <v>211490.84184000001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622.73537999999996</v>
      </c>
      <c r="G27" s="134">
        <f t="shared" ref="G27:I27" si="2">G28+G29+G30+G31+G32</f>
        <v>138860.36368000001</v>
      </c>
      <c r="H27" s="134">
        <f t="shared" si="2"/>
        <v>13790.636319999998</v>
      </c>
      <c r="I27" s="134">
        <f t="shared" si="2"/>
        <v>172174.56735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53.74025</f>
        <v>53.740250000000003</v>
      </c>
      <c r="G28" s="129">
        <f>37065.40486 - F57</f>
        <v>35569.404860000002</v>
      </c>
      <c r="H28" s="129">
        <f t="shared" ref="H28:H40" si="3">E28-G28</f>
        <v>3979.5951399999976</v>
      </c>
      <c r="I28" s="129">
        <f>43102.76187 - H57</f>
        <v>41247.761870000002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174.05641</f>
        <v>174.05641</v>
      </c>
      <c r="G29" s="129">
        <f>39128.91788 - F58</f>
        <v>36817.917880000001</v>
      </c>
      <c r="H29" s="129">
        <f t="shared" si="3"/>
        <v>3946.0821199999991</v>
      </c>
      <c r="I29" s="129">
        <f>47560.10156 - H58</f>
        <v>45961.101560000003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68.4986</f>
        <v>68.498599999999996</v>
      </c>
      <c r="G30" s="129">
        <f>37242.10759 - F59</f>
        <v>36132.10759</v>
      </c>
      <c r="H30" s="129">
        <f t="shared" si="3"/>
        <v>1134.8924100000004</v>
      </c>
      <c r="I30" s="129">
        <f>47473.23636 - H59</f>
        <v>46552.236360000003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85.44012</f>
        <v>85.440119999999993</v>
      </c>
      <c r="G31" s="129">
        <f>25249.93335 - F60</f>
        <v>24749.933349999999</v>
      </c>
      <c r="H31" s="129">
        <f t="shared" si="3"/>
        <v>657.06665000000066</v>
      </c>
      <c r="I31" s="129">
        <f>33989.46756 - H60</f>
        <v>33425.467559999997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241</v>
      </c>
      <c r="G32" s="129">
        <f>F55</f>
        <v>5591</v>
      </c>
      <c r="H32" s="129">
        <f t="shared" si="3"/>
        <v>4073</v>
      </c>
      <c r="I32" s="129">
        <f>H55</f>
        <v>4988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0.10266</f>
        <v>0.10266</v>
      </c>
      <c r="G33" s="134">
        <f>15860.62903</f>
        <v>15860.62903</v>
      </c>
      <c r="H33" s="134">
        <f t="shared" si="3"/>
        <v>7725.3709699999999</v>
      </c>
      <c r="I33" s="134">
        <f>18613.91473</f>
        <v>18613.91473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54.488990000000001</v>
      </c>
      <c r="G34" s="134">
        <f>G35+G36</f>
        <v>21116.822189999999</v>
      </c>
      <c r="H34" s="134">
        <f t="shared" si="3"/>
        <v>216.17781000000105</v>
      </c>
      <c r="I34" s="134">
        <f>I35+I36</f>
        <v>20702.359759999999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35.48899</f>
        <v>35.488990000000001</v>
      </c>
      <c r="G35" s="134">
        <f>24991.82219 - F61 - F62</f>
        <v>20616.822189999999</v>
      </c>
      <c r="H35" s="129">
        <f t="shared" si="3"/>
        <v>-483.82218999999895</v>
      </c>
      <c r="I35" s="129">
        <f>21806.35976 - H61 - H62</f>
        <v>20138.359759999999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19</v>
      </c>
      <c r="G36" s="73">
        <f>F60</f>
        <v>500</v>
      </c>
      <c r="H36" s="73">
        <f t="shared" si="3"/>
        <v>700</v>
      </c>
      <c r="I36" s="73">
        <f>H60</f>
        <v>564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560.0937</f>
        <v>560.09370000000001</v>
      </c>
      <c r="H37" s="141">
        <f t="shared" si="3"/>
        <v>2439.9063000000001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0.003</f>
        <v>3.0000000000000001E-3</v>
      </c>
      <c r="G38" s="100">
        <f>488.24024</f>
        <v>488.24023999999997</v>
      </c>
      <c r="H38" s="100">
        <f t="shared" si="3"/>
        <v>362.75976000000003</v>
      </c>
      <c r="I38" s="100">
        <f>460.45963</f>
        <v>460.45963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9</v>
      </c>
      <c r="G39" s="100">
        <f>F61</f>
        <v>4375</v>
      </c>
      <c r="H39" s="100">
        <f t="shared" si="3"/>
        <v>-1327</v>
      </c>
      <c r="I39" s="100">
        <f>H61</f>
        <v>1668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1.0443</f>
        <v>1.0443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757.81132999999988</v>
      </c>
      <c r="G44" s="78">
        <f t="shared" si="4"/>
        <v>243607.58746000001</v>
      </c>
      <c r="H44" s="78">
        <f t="shared" si="4"/>
        <v>55088.412539999968</v>
      </c>
      <c r="I44" s="78">
        <f t="shared" si="4"/>
        <v>292939.53584999999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146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241</v>
      </c>
      <c r="F55" s="11">
        <f>F59+F58+F57+F56</f>
        <v>5591</v>
      </c>
      <c r="G55" s="299">
        <f>D55-F55</f>
        <v>4249</v>
      </c>
      <c r="H55" s="11">
        <f>H59+H58+H57+H56</f>
        <v>4988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>
        <v>35</v>
      </c>
      <c r="F56" s="129">
        <v>674</v>
      </c>
      <c r="G56" s="300"/>
      <c r="H56" s="129">
        <v>613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>
        <v>111</v>
      </c>
      <c r="F57" s="129">
        <v>1496</v>
      </c>
      <c r="G57" s="300"/>
      <c r="H57" s="129">
        <v>1855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>
        <v>66</v>
      </c>
      <c r="F58" s="129">
        <v>2311</v>
      </c>
      <c r="G58" s="300"/>
      <c r="H58" s="129">
        <v>1599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>
        <v>29</v>
      </c>
      <c r="F59" s="194">
        <v>1110</v>
      </c>
      <c r="G59" s="301"/>
      <c r="H59" s="194">
        <v>921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19</v>
      </c>
      <c r="F60" s="97">
        <v>500</v>
      </c>
      <c r="G60" s="97">
        <f>D60-F60</f>
        <v>700</v>
      </c>
      <c r="H60" s="97">
        <v>564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9</v>
      </c>
      <c r="F61" s="141">
        <v>4375</v>
      </c>
      <c r="G61" s="141">
        <f>D61-F61</f>
        <v>-1375</v>
      </c>
      <c r="H61" s="141">
        <v>1668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71.209460000000007</v>
      </c>
      <c r="G92" s="11">
        <f t="shared" si="5"/>
        <v>39374.789769999996</v>
      </c>
      <c r="H92" s="11">
        <f t="shared" si="5"/>
        <v>-4575.7897699999985</v>
      </c>
      <c r="I92" s="11">
        <f t="shared" si="5"/>
        <v>36366.138989999999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67.44486</f>
        <v>67.444860000000006</v>
      </c>
      <c r="G93" s="23">
        <f>38867.28578</f>
        <v>38867.285779999998</v>
      </c>
      <c r="H93" s="23">
        <f>E93-G93</f>
        <v>-4880.2857799999983</v>
      </c>
      <c r="I93" s="23">
        <f>35651.31852</f>
        <v>35651.318520000001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3.7646</f>
        <v>3.7646000000000002</v>
      </c>
      <c r="G94" s="52">
        <f>507.50399</f>
        <v>507.50398999999999</v>
      </c>
      <c r="H94" s="52">
        <f>E94-G94</f>
        <v>304.49601000000001</v>
      </c>
      <c r="I94" s="52">
        <f>714.82047</f>
        <v>714.82047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258.26582000000002</v>
      </c>
      <c r="G95" s="11">
        <f t="shared" si="6"/>
        <v>28283.604100000004</v>
      </c>
      <c r="H95" s="11">
        <f t="shared" si="6"/>
        <v>31216.395900000003</v>
      </c>
      <c r="I95" s="11">
        <f t="shared" si="6"/>
        <v>33136.917580000001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237.42271</v>
      </c>
      <c r="G96" s="134">
        <f t="shared" si="7"/>
        <v>20446.788080000002</v>
      </c>
      <c r="H96" s="134">
        <f t="shared" si="7"/>
        <v>24044.211920000002</v>
      </c>
      <c r="I96" s="134">
        <f t="shared" si="7"/>
        <v>25991.664720000001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46.90488</f>
        <v>46.904879999999999</v>
      </c>
      <c r="G97" s="129">
        <f>3013.10701</f>
        <v>3013.1070100000002</v>
      </c>
      <c r="H97" s="129">
        <f t="shared" ref="H97:H104" si="8">E97-G97</f>
        <v>8870.592990000001</v>
      </c>
      <c r="I97" s="129">
        <f>2907.96501</f>
        <v>2907.9650099999999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66.10563</f>
        <v>66.105630000000005</v>
      </c>
      <c r="G98" s="129">
        <f>6045.9986</f>
        <v>6045.9985999999999</v>
      </c>
      <c r="H98" s="129">
        <f t="shared" si="8"/>
        <v>6619.1014000000005</v>
      </c>
      <c r="I98" s="129">
        <f>8809.85092</f>
        <v>8809.8509200000008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18.66812</f>
        <v>18.668119999999998</v>
      </c>
      <c r="G99" s="129">
        <f>6293.80577</f>
        <v>6293.8057699999999</v>
      </c>
      <c r="H99" s="129">
        <f t="shared" si="8"/>
        <v>5671.7942300000004</v>
      </c>
      <c r="I99" s="129">
        <f>7186.58542</f>
        <v>7186.5854200000003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105.74408</f>
        <v>105.74408</v>
      </c>
      <c r="G100" s="129">
        <f>5093.8767</f>
        <v>5093.8766999999998</v>
      </c>
      <c r="H100" s="129">
        <f t="shared" si="8"/>
        <v>2882.7233000000006</v>
      </c>
      <c r="I100" s="129">
        <f>7087.26337</f>
        <v>7087.2633699999997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1.66108</f>
        <v>1.6610799999999999</v>
      </c>
      <c r="G101" s="134">
        <f>6336.23558</f>
        <v>6336.2355799999996</v>
      </c>
      <c r="H101" s="134">
        <f t="shared" si="8"/>
        <v>4054.7644200000004</v>
      </c>
      <c r="I101" s="134">
        <f>5881.95006</f>
        <v>5881.9500600000001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19.18203</f>
        <v>19.182030000000001</v>
      </c>
      <c r="G102" s="77">
        <f>1500.58044</f>
        <v>1500.58044</v>
      </c>
      <c r="H102" s="77">
        <f t="shared" si="8"/>
        <v>3117.4195600000003</v>
      </c>
      <c r="I102" s="77">
        <f>1263.3028</f>
        <v>1263.3027999999999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0.12158</f>
        <v>0.12157999999999999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329.59685999999999</v>
      </c>
      <c r="G107" s="78">
        <f t="shared" si="9"/>
        <v>67978.410339999988</v>
      </c>
      <c r="H107" s="78">
        <f t="shared" si="9"/>
        <v>26990.589660000016</v>
      </c>
      <c r="I107" s="78">
        <f t="shared" si="9"/>
        <v>69868.786179999996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1313.5216500000001</v>
      </c>
      <c r="G128" s="11">
        <f t="shared" si="11"/>
        <v>46530.920809999996</v>
      </c>
      <c r="H128" s="11">
        <f t="shared" si="11"/>
        <v>24176.079190000004</v>
      </c>
      <c r="I128" s="11">
        <f t="shared" si="11"/>
        <v>44167.631329999997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1046.277</f>
        <v>1046.277</v>
      </c>
      <c r="G129" s="23">
        <f>41049.47674</f>
        <v>41049.476739999998</v>
      </c>
      <c r="H129" s="23">
        <f>E129-G129</f>
        <v>15175.523260000002</v>
      </c>
      <c r="I129" s="23">
        <f>37686.74217</f>
        <v>37686.742169999998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267.24465</f>
        <v>267.24464999999998</v>
      </c>
      <c r="G130" s="23">
        <f>5481.44407</f>
        <v>5481.4440699999996</v>
      </c>
      <c r="H130" s="23">
        <f>E130-G130</f>
        <v>8500.5559300000004</v>
      </c>
      <c r="I130" s="23">
        <f>6480.88916</f>
        <v>6480.8891599999997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618.92715</f>
        <v>618.92714999999998</v>
      </c>
      <c r="G132" s="97">
        <f>37849.98218+6400.298345</f>
        <v>44250.280525000002</v>
      </c>
      <c r="H132" s="97">
        <f>E132-G132</f>
        <v>5034.7194749999981</v>
      </c>
      <c r="I132" s="97">
        <f>39051.38148</f>
        <v>39051.381479999996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825.37661000000003</v>
      </c>
      <c r="G133" s="96">
        <f>G134+G139+G142</f>
        <v>56388.540594999999</v>
      </c>
      <c r="H133" s="96">
        <f>H134+H139+H142</f>
        <v>24723.459405000001</v>
      </c>
      <c r="I133" s="96">
        <f>I134+I139+I142</f>
        <v>56985.479510000005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669.80766000000006</v>
      </c>
      <c r="G134" s="127">
        <f>G135+G136+G138+G137</f>
        <v>43444.337694999995</v>
      </c>
      <c r="H134" s="127">
        <f>H135+H136+H137+H138</f>
        <v>16188.662305</v>
      </c>
      <c r="I134" s="127">
        <f>I135+I136+I137+I138</f>
        <v>44892.935570000001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184.52619</f>
        <v>184.52619000000001</v>
      </c>
      <c r="G135" s="129">
        <v>7689.8766500000002</v>
      </c>
      <c r="H135" s="129">
        <f>E135-G135</f>
        <v>9848.1233499999998</v>
      </c>
      <c r="I135" s="129">
        <f>7177.97584</f>
        <v>7177.9758400000001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275.02424</f>
        <v>275.02424000000002</v>
      </c>
      <c r="G136" s="129">
        <v>12817.165895</v>
      </c>
      <c r="H136" s="129">
        <f>E136-G136</f>
        <v>2300.8341049999999</v>
      </c>
      <c r="I136" s="129">
        <f>10352.7645</f>
        <v>10352.764499999999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132.66228</f>
        <v>132.66228000000001</v>
      </c>
      <c r="G137" s="129">
        <v>12798.59</v>
      </c>
      <c r="H137" s="129">
        <f>E137-G137</f>
        <v>2257.41</v>
      </c>
      <c r="I137" s="129">
        <f>14497.38121</f>
        <v>14497.38121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77.59495</f>
        <v>77.594949999999997</v>
      </c>
      <c r="G138" s="129">
        <v>10138.70515</v>
      </c>
      <c r="H138" s="129">
        <f>E138-G138</f>
        <v>1782.2948500000002</v>
      </c>
      <c r="I138" s="129">
        <f>12864.81402</f>
        <v>12864.81402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2.0005500000000001</v>
      </c>
      <c r="G139" s="134">
        <f>SUM(G140:G141)</f>
        <v>6940.02646</v>
      </c>
      <c r="H139" s="134">
        <f>H140+H141</f>
        <v>2510.97354</v>
      </c>
      <c r="I139" s="134">
        <f>SUM(I140:I141)</f>
        <v>6211.9540099999995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0</f>
        <v>0</v>
      </c>
      <c r="G140" s="129">
        <f>6705.48665</f>
        <v>6705.4866499999998</v>
      </c>
      <c r="H140" s="129">
        <f t="shared" ref="H140:H147" si="12">E140-G140</f>
        <v>2245.5133500000002</v>
      </c>
      <c r="I140" s="129">
        <f>5972.57173</f>
        <v>5972.5717299999997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2.00055</f>
        <v>2.0005500000000001</v>
      </c>
      <c r="G141" s="129">
        <f>234.53981</f>
        <v>234.53980999999999</v>
      </c>
      <c r="H141" s="129">
        <f t="shared" si="12"/>
        <v>265.46019000000001</v>
      </c>
      <c r="I141" s="129">
        <f>239.38228</f>
        <v>239.38228000000001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153.5684</f>
        <v>153.5684</v>
      </c>
      <c r="G142" s="77">
        <f>6004.17644</f>
        <v>6004.1764400000002</v>
      </c>
      <c r="H142" s="77">
        <f t="shared" si="12"/>
        <v>6023.8235599999998</v>
      </c>
      <c r="I142" s="77">
        <f>5880.58993</f>
        <v>5880.5899300000001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0.44145</f>
        <v>0.44145000000000001</v>
      </c>
      <c r="G143" s="141">
        <f>30.80245</f>
        <v>30.80245</v>
      </c>
      <c r="H143" s="141">
        <f t="shared" si="12"/>
        <v>106.19755000000001</v>
      </c>
      <c r="I143" s="141">
        <f>21.76787</f>
        <v>21.767869999999998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2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4.74029</f>
        <v>4.7402899999999999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212994</v>
      </c>
      <c r="E150" s="78">
        <f t="shared" si="13"/>
        <v>203686</v>
      </c>
      <c r="F150" s="78">
        <f>F128+F132+F133+F143+F144+F145+F146+F147+F148</f>
        <v>2763.0071500000004</v>
      </c>
      <c r="G150" s="78">
        <f>G128+G132+G133+G143+G144+G145+G146+G147+G148</f>
        <v>149463.12537999998</v>
      </c>
      <c r="H150" s="78">
        <f>H128+H132+H133+H143+H144+H145+H146+H147+H148</f>
        <v>54222.874620000002</v>
      </c>
      <c r="I150" s="78">
        <f>I128+I132+I133+I143+I144+I145+I146+I147+I148</f>
        <v>142533.23619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149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148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8.15556</f>
        <v>8.1555599999999995</v>
      </c>
      <c r="F175" s="274">
        <f>1402.70935</f>
        <v>1402.7093500000001</v>
      </c>
      <c r="G175" s="45">
        <f>D175-F175-F176</f>
        <v>1907.9185599999998</v>
      </c>
      <c r="H175" s="274">
        <f>1129.09218</f>
        <v>1129.0921800000001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1677.37209</f>
        <v>1677.3720900000001</v>
      </c>
      <c r="G176" s="215"/>
      <c r="H176" s="154">
        <f>1418.93599</f>
        <v>1418.9359899999999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2.9419</f>
        <v>2.9419</v>
      </c>
      <c r="F177" s="174">
        <f>74.61014</f>
        <v>74.610140000000001</v>
      </c>
      <c r="G177" s="174">
        <f>D177-F177</f>
        <v>125.38986</v>
      </c>
      <c r="H177" s="174">
        <f>50.2098</f>
        <v>50.209800000000001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23.083270000000002</v>
      </c>
      <c r="F178" s="183">
        <f>F179+F180+F181</f>
        <v>7939.5862499999994</v>
      </c>
      <c r="G178" s="183">
        <f>D178-F178</f>
        <v>-458.58624999999938</v>
      </c>
      <c r="H178" s="183">
        <f>H179+H180+H181</f>
        <v>7608.2509199999995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3.04243</f>
        <v>3.04243</v>
      </c>
      <c r="F179" s="129">
        <f>4149.59225</f>
        <v>4149.5922499999997</v>
      </c>
      <c r="G179" s="129"/>
      <c r="H179" s="129">
        <f>3958.90934</f>
        <v>3958.9093400000002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18.09475</f>
        <v>18.094750000000001</v>
      </c>
      <c r="F180" s="129">
        <f>2404.92823</f>
        <v>2404.92823</v>
      </c>
      <c r="G180" s="129"/>
      <c r="H180" s="129">
        <f>2353.13582</f>
        <v>2353.13582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1.94609</f>
        <v>1.9460900000000001</v>
      </c>
      <c r="F181" s="194">
        <f>1385.06577</f>
        <v>1385.0657699999999</v>
      </c>
      <c r="G181" s="194"/>
      <c r="H181" s="194">
        <f>1296.20576</f>
        <v>1296.2057600000001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34.180730000000004</v>
      </c>
      <c r="F184" s="196">
        <f>F175+F176+F177+F178+F182+F183</f>
        <v>11094.277829999999</v>
      </c>
      <c r="G184" s="196">
        <f>D184-F184</f>
        <v>1640.7221700000009</v>
      </c>
      <c r="H184" s="196">
        <f>H175+H176+H177+H178+H182+H183</f>
        <v>10206.488890000001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148.11408</f>
        <v>148.11408</v>
      </c>
      <c r="F204" s="124">
        <f>39854.75491</f>
        <v>39854.754910000003</v>
      </c>
      <c r="G204" s="124">
        <f>D204-F204</f>
        <v>3984.2450899999967</v>
      </c>
      <c r="H204" s="124">
        <f>34547.14155</f>
        <v>34547.14155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0.073</f>
        <v>7.2999999999999995E-2</v>
      </c>
      <c r="F205" s="124">
        <f>57.20455</f>
        <v>57.204549999999998</v>
      </c>
      <c r="G205" s="124">
        <f>D205-F205</f>
        <v>42.795450000000002</v>
      </c>
      <c r="H205" s="124">
        <f>49.79481</f>
        <v>49.794809999999998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148.18708000000001</v>
      </c>
      <c r="F207" s="190">
        <f>SUM(F204:F206)</f>
        <v>39911.959460000005</v>
      </c>
      <c r="G207" s="190">
        <f>D207-F207</f>
        <v>4069.0405399999945</v>
      </c>
      <c r="H207" s="190">
        <f>SUM(H204:H206)</f>
        <v>34596.93636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39.9998</f>
        <v>39.9998</v>
      </c>
      <c r="F249" s="77">
        <f>3473.8159</f>
        <v>3473.8159000000001</v>
      </c>
      <c r="G249" s="77"/>
      <c r="H249" s="77">
        <f>2283.90235</f>
        <v>2283.9023499999998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30.80732</f>
        <v>30.807320000000001</v>
      </c>
      <c r="F250" s="77">
        <f>4892.74589</f>
        <v>4892.7458900000001</v>
      </c>
      <c r="G250" s="77"/>
      <c r="H250" s="77">
        <f>4385.00993</f>
        <v>4385.0099300000002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7.04472</f>
        <v>7.0447199999999999</v>
      </c>
      <c r="F251" s="124">
        <f>526.80723</f>
        <v>526.80723</v>
      </c>
      <c r="G251" s="168"/>
      <c r="H251" s="124">
        <f>490.64218</f>
        <v>490.64218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77.851839999999996</v>
      </c>
      <c r="F252" s="190">
        <f>SUM(F249:F251)</f>
        <v>8893.3690200000001</v>
      </c>
      <c r="G252" s="190">
        <f>D252-F252</f>
        <v>1560.6309799999999</v>
      </c>
      <c r="H252" s="190">
        <f>SUM(H249:H251)</f>
        <v>7159.5544600000003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148.1962</f>
        <v>148.1962</v>
      </c>
      <c r="F294" s="77">
        <f>5298.92041</f>
        <v>5298.9204099999997</v>
      </c>
      <c r="G294" s="77"/>
      <c r="H294" s="77">
        <f>3011.21977</f>
        <v>3011.2197700000002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75.3907</f>
        <v>75.390699999999995</v>
      </c>
      <c r="F295" s="77">
        <f>2998.91126</f>
        <v>2998.9112599999999</v>
      </c>
      <c r="G295" s="77"/>
      <c r="H295" s="77">
        <f>2519.77026</f>
        <v>2519.7702599999998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0.47431</f>
        <v>0.47431000000000001</v>
      </c>
      <c r="F296" s="124">
        <f>419.20833</f>
        <v>419.20832999999999</v>
      </c>
      <c r="G296" s="168"/>
      <c r="H296" s="124">
        <f>452.52586</f>
        <v>452.52586000000002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224.06121000000002</v>
      </c>
      <c r="F297" s="190">
        <f>SUM(F294:F296)</f>
        <v>8717.0399999999991</v>
      </c>
      <c r="G297" s="190">
        <f>D297-F297</f>
        <v>-641.03999999999905</v>
      </c>
      <c r="H297" s="190">
        <f>SUM(H294:H296)</f>
        <v>5983.5158899999997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14.74564</f>
        <v>14.74564</v>
      </c>
      <c r="F348" s="124">
        <f>473.61087</f>
        <v>473.61086999999998</v>
      </c>
      <c r="G348" s="124">
        <f>D348-F348</f>
        <v>326.38913000000002</v>
      </c>
      <c r="H348" s="124">
        <f>268.45759</f>
        <v>268.45758999999998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20.45975</f>
        <v>20.45975</v>
      </c>
      <c r="F349" s="124">
        <f>2381.11564</f>
        <v>2381.11564</v>
      </c>
      <c r="G349" s="124">
        <f>D349-F349</f>
        <v>112.88436000000002</v>
      </c>
      <c r="H349" s="124">
        <f>1422.72964</f>
        <v>1422.72964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0.9582</f>
        <v>0.95820000000000005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</f>
        <v>0</v>
      </c>
      <c r="F351" s="168">
        <f>1.7076</f>
        <v>1.7076</v>
      </c>
      <c r="G351" s="124"/>
      <c r="H351" s="168">
        <f>6.75208</f>
        <v>6.7520800000000003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35.205390000000001</v>
      </c>
      <c r="F352" s="190">
        <f>SUM(F348:F351)</f>
        <v>2859.1728499999999</v>
      </c>
      <c r="G352" s="190">
        <f>D352-F352</f>
        <v>439.82715000000007</v>
      </c>
      <c r="H352" s="190">
        <f>H348+H349+H350+H351</f>
        <v>1698.89751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2" t="s">
        <v>119</v>
      </c>
    </row>
    <row r="359" spans="1:10" ht="36" customHeight="1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4">D382+D381+D380+D379</f>
        <v>13765</v>
      </c>
      <c r="E378" s="249">
        <f t="shared" si="14"/>
        <v>16102</v>
      </c>
      <c r="F378" s="251">
        <f t="shared" si="14"/>
        <v>829.12040999999999</v>
      </c>
      <c r="G378" s="251">
        <f t="shared" si="14"/>
        <v>12721.389869999999</v>
      </c>
      <c r="H378" s="251">
        <f>H382+H381+H380+H379</f>
        <v>3380.6101300000005</v>
      </c>
      <c r="I378" s="251">
        <f t="shared" si="14"/>
        <v>4923.1150199999993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758.38765</f>
        <v>758.38765000000001</v>
      </c>
      <c r="G379" s="255">
        <f>7007.34135</f>
        <v>7007.3413499999997</v>
      </c>
      <c r="H379" s="255">
        <f t="shared" ref="H379:H383" si="15">E379-G379</f>
        <v>1169.6586500000003</v>
      </c>
      <c r="I379" s="255">
        <f>2366.54383</f>
        <v>2366.5438300000001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1408.0095</f>
        <v>1408.0094999999999</v>
      </c>
      <c r="H380" s="255">
        <f t="shared" si="15"/>
        <v>719.99050000000011</v>
      </c>
      <c r="I380" s="255">
        <f>490.4118</f>
        <v>490.41180000000003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29.70036</f>
        <v>29.70036</v>
      </c>
      <c r="G381" s="255">
        <f>1684.80032</f>
        <v>1684.8003200000001</v>
      </c>
      <c r="H381" s="255">
        <f t="shared" si="15"/>
        <v>-327.80032000000006</v>
      </c>
      <c r="I381" s="255">
        <f>1288.13599</f>
        <v>1288.13599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41.0324</f>
        <v>41.032400000000003</v>
      </c>
      <c r="G382" s="255">
        <f>2621.2387</f>
        <v>2621.2386999999999</v>
      </c>
      <c r="H382" s="255">
        <f t="shared" si="15"/>
        <v>1818.7613000000001</v>
      </c>
      <c r="I382" s="255">
        <f>778.0234</f>
        <v>778.02340000000004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2.028</f>
        <v>2.028</v>
      </c>
      <c r="G383" s="266">
        <f>5106.92928</f>
        <v>5106.9292800000003</v>
      </c>
      <c r="H383" s="266">
        <f t="shared" si="15"/>
        <v>393.07071999999971</v>
      </c>
      <c r="I383" s="266">
        <f>4546.98168</f>
        <v>4546.9816799999999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106.86559</v>
      </c>
      <c r="G384" s="267">
        <f>G386+G385</f>
        <v>3358.07899</v>
      </c>
      <c r="H384" s="267">
        <f>E384-G384</f>
        <v>4641.92101</v>
      </c>
      <c r="I384" s="267">
        <f>I386+I385</f>
        <v>3304.9739399999999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2.8395</f>
        <v>2.8395000000000001</v>
      </c>
      <c r="G385" s="255">
        <f>854.43605</f>
        <v>854.43605000000002</v>
      </c>
      <c r="H385" s="255"/>
      <c r="I385" s="255">
        <f>1137.09941</f>
        <v>1137.09941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104.02609</f>
        <v>104.02609</v>
      </c>
      <c r="G386" s="276">
        <f>2503.64294</f>
        <v>2503.6429400000002</v>
      </c>
      <c r="H386" s="276"/>
      <c r="I386" s="276">
        <f>2167.87453</f>
        <v>2167.87453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0.39555</f>
        <v>0.39555000000000001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0.06756</f>
        <v>6.7559999999999995E-2</v>
      </c>
      <c r="G388" s="266">
        <f>115.32842</f>
        <v>115.32841999999999</v>
      </c>
      <c r="H388" s="266">
        <f>E388-G388</f>
        <v>-115.32841999999999</v>
      </c>
      <c r="I388" s="266">
        <f>231.52205</f>
        <v>231.52205000000001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6">F378+F383+F384+F387+F388</f>
        <v>938.08155999999997</v>
      </c>
      <c r="G389" s="285">
        <f t="shared" si="16"/>
        <v>21301.800059999998</v>
      </c>
      <c r="H389" s="285">
        <f>H378+H383+H384+H387+H388</f>
        <v>8310.1999400000004</v>
      </c>
      <c r="I389" s="285">
        <f t="shared" si="16"/>
        <v>13006.988239999997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0</v>
      </c>
      <c r="F414" s="26">
        <f>SUM(F415:F416)</f>
        <v>1461.08285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0</f>
        <v>0</v>
      </c>
      <c r="F415" s="30">
        <f>1121.24477</f>
        <v>1121.24477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43.148510000000002</v>
      </c>
      <c r="F417" s="36">
        <f>SUM(F418:F419)</f>
        <v>46.117509999999996</v>
      </c>
      <c r="G417" s="87"/>
      <c r="H417" s="36">
        <f>SUM(H418:H419)</f>
        <v>144.23148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33.4025</f>
        <v>33.402500000000003</v>
      </c>
      <c r="F418" s="30">
        <f>35.0725</f>
        <v>35.072499999999998</v>
      </c>
      <c r="G418" s="99"/>
      <c r="H418" s="30">
        <f>117.84298</f>
        <v>117.84298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9.74601</f>
        <v>9.7460100000000001</v>
      </c>
      <c r="F419" s="30">
        <f>11.04501</f>
        <v>11.04501</v>
      </c>
      <c r="G419" s="110"/>
      <c r="H419" s="30">
        <f>26.3885</f>
        <v>26.388500000000001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88</v>
      </c>
      <c r="D421" s="41"/>
      <c r="E421" s="42">
        <f>E411+E414+E417+E420</f>
        <v>43.148510000000002</v>
      </c>
      <c r="F421" s="42">
        <f>F411+F414+F417+F420</f>
        <v>3703.9474899999996</v>
      </c>
      <c r="G421" s="43"/>
      <c r="H421" s="42">
        <f>H411+H414+H417+H420</f>
        <v>3342.92668</v>
      </c>
      <c r="I421" s="27"/>
      <c r="J421" s="132"/>
    </row>
    <row r="422" spans="1:10" ht="18.75" customHeight="1" x14ac:dyDescent="0.2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36&amp;R11.09.2023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2023-09-11T07:51:20Z</dcterms:modified>
</cp:coreProperties>
</file>