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L:\Regulering\Seksjon for fiskeriregulering - NY MAPPE\ameik\Ukesstatistikk\2022\22-41\Inndata\"/>
    </mc:Choice>
  </mc:AlternateContent>
  <xr:revisionPtr revIDLastSave="0" documentId="13_ncr:1_{3ABE2CA9-6204-4EE8-8CF9-3EE9B5B2FA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E_41_2022" sheetId="1" r:id="rId1"/>
  </sheets>
  <definedNames>
    <definedName name="Z_14D440E4_F18A_4F78_9989_38C1B133222D_.wvu.Cols" localSheetId="0" hidden="1">UKE_41_2022!#REF!</definedName>
    <definedName name="Z_14D440E4_F18A_4F78_9989_38C1B133222D_.wvu.PrintArea" localSheetId="0" hidden="1">UKE_41_2022!$B$1:$J$359</definedName>
    <definedName name="Z_14D440E4_F18A_4F78_9989_38C1B133222D_.wvu.Rows" localSheetId="0" hidden="1">UKE_41_2022!#REF!,UKE_41_2022!#REF!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2" i="1" l="1"/>
  <c r="H161" i="1"/>
  <c r="I35" i="1"/>
  <c r="G35" i="1"/>
  <c r="I31" i="1"/>
  <c r="I30" i="1"/>
  <c r="I29" i="1"/>
  <c r="I28" i="1"/>
  <c r="G31" i="1"/>
  <c r="G30" i="1"/>
  <c r="G29" i="1"/>
  <c r="G28" i="1"/>
  <c r="D357" i="1"/>
  <c r="H355" i="1"/>
  <c r="F355" i="1"/>
  <c r="E355" i="1"/>
  <c r="H354" i="1"/>
  <c r="H353" i="1" s="1"/>
  <c r="F354" i="1"/>
  <c r="F353" i="1" s="1"/>
  <c r="G353" i="1" s="1"/>
  <c r="E354" i="1"/>
  <c r="E353" i="1" s="1"/>
  <c r="H352" i="1"/>
  <c r="F352" i="1"/>
  <c r="E352" i="1"/>
  <c r="E350" i="1" s="1"/>
  <c r="H351" i="1"/>
  <c r="H350" i="1" s="1"/>
  <c r="F351" i="1"/>
  <c r="E351" i="1"/>
  <c r="F350" i="1"/>
  <c r="G350" i="1" s="1"/>
  <c r="H349" i="1"/>
  <c r="F349" i="1"/>
  <c r="E349" i="1"/>
  <c r="H348" i="1"/>
  <c r="F348" i="1"/>
  <c r="E348" i="1"/>
  <c r="H347" i="1"/>
  <c r="H357" i="1" s="1"/>
  <c r="F347" i="1"/>
  <c r="G347" i="1" s="1"/>
  <c r="G357" i="1" s="1"/>
  <c r="E347" i="1"/>
  <c r="E325" i="1"/>
  <c r="D325" i="1"/>
  <c r="I324" i="1"/>
  <c r="H324" i="1"/>
  <c r="G324" i="1"/>
  <c r="F324" i="1"/>
  <c r="I323" i="1"/>
  <c r="G323" i="1"/>
  <c r="H323" i="1" s="1"/>
  <c r="F323" i="1"/>
  <c r="I322" i="1"/>
  <c r="G322" i="1"/>
  <c r="F322" i="1"/>
  <c r="I321" i="1"/>
  <c r="G321" i="1"/>
  <c r="F321" i="1"/>
  <c r="I320" i="1"/>
  <c r="G320" i="1"/>
  <c r="H320" i="1" s="1"/>
  <c r="F320" i="1"/>
  <c r="I319" i="1"/>
  <c r="H319" i="1"/>
  <c r="G319" i="1"/>
  <c r="F319" i="1"/>
  <c r="I318" i="1"/>
  <c r="G318" i="1"/>
  <c r="H318" i="1" s="1"/>
  <c r="F318" i="1"/>
  <c r="I317" i="1"/>
  <c r="H317" i="1"/>
  <c r="G317" i="1"/>
  <c r="F317" i="1"/>
  <c r="I316" i="1"/>
  <c r="G316" i="1"/>
  <c r="H316" i="1" s="1"/>
  <c r="F316" i="1"/>
  <c r="I315" i="1"/>
  <c r="H315" i="1"/>
  <c r="G315" i="1"/>
  <c r="F315" i="1"/>
  <c r="I314" i="1"/>
  <c r="I325" i="1" s="1"/>
  <c r="G314" i="1"/>
  <c r="G325" i="1" s="1"/>
  <c r="F314" i="1"/>
  <c r="F325" i="1" s="1"/>
  <c r="E314" i="1"/>
  <c r="D314" i="1"/>
  <c r="H306" i="1"/>
  <c r="F306" i="1"/>
  <c r="D288" i="1"/>
  <c r="H287" i="1"/>
  <c r="F287" i="1"/>
  <c r="E287" i="1"/>
  <c r="H286" i="1"/>
  <c r="H288" i="1" s="1"/>
  <c r="F286" i="1"/>
  <c r="G286" i="1" s="1"/>
  <c r="E286" i="1"/>
  <c r="H285" i="1"/>
  <c r="F285" i="1"/>
  <c r="E285" i="1"/>
  <c r="H284" i="1"/>
  <c r="G284" i="1"/>
  <c r="F284" i="1"/>
  <c r="E284" i="1"/>
  <c r="E288" i="1" s="1"/>
  <c r="D277" i="1"/>
  <c r="D233" i="1"/>
  <c r="G233" i="1" s="1"/>
  <c r="G232" i="1"/>
  <c r="H231" i="1"/>
  <c r="H233" i="1" s="1"/>
  <c r="G231" i="1"/>
  <c r="F231" i="1"/>
  <c r="E231" i="1"/>
  <c r="H230" i="1"/>
  <c r="F230" i="1"/>
  <c r="F233" i="1" s="1"/>
  <c r="E230" i="1"/>
  <c r="E233" i="1" s="1"/>
  <c r="D210" i="1"/>
  <c r="H208" i="1"/>
  <c r="G208" i="1"/>
  <c r="F208" i="1"/>
  <c r="E208" i="1"/>
  <c r="H207" i="1"/>
  <c r="F207" i="1"/>
  <c r="E207" i="1"/>
  <c r="H206" i="1"/>
  <c r="F206" i="1"/>
  <c r="E206" i="1"/>
  <c r="H205" i="1"/>
  <c r="H204" i="1" s="1"/>
  <c r="F205" i="1"/>
  <c r="F204" i="1" s="1"/>
  <c r="G204" i="1" s="1"/>
  <c r="E205" i="1"/>
  <c r="E204" i="1" s="1"/>
  <c r="H203" i="1"/>
  <c r="F203" i="1"/>
  <c r="G203" i="1" s="1"/>
  <c r="E203" i="1"/>
  <c r="H202" i="1"/>
  <c r="F202" i="1"/>
  <c r="E202" i="1"/>
  <c r="H201" i="1"/>
  <c r="G201" i="1"/>
  <c r="F201" i="1"/>
  <c r="F210" i="1" s="1"/>
  <c r="G210" i="1" s="1"/>
  <c r="E201" i="1"/>
  <c r="E210" i="1" s="1"/>
  <c r="H174" i="1"/>
  <c r="H173" i="1"/>
  <c r="H172" i="1"/>
  <c r="H171" i="1"/>
  <c r="F171" i="1"/>
  <c r="I170" i="1"/>
  <c r="G170" i="1"/>
  <c r="H170" i="1" s="1"/>
  <c r="F170" i="1"/>
  <c r="I169" i="1"/>
  <c r="H169" i="1"/>
  <c r="G169" i="1"/>
  <c r="F169" i="1"/>
  <c r="I168" i="1"/>
  <c r="G168" i="1"/>
  <c r="H168" i="1" s="1"/>
  <c r="F168" i="1"/>
  <c r="I167" i="1"/>
  <c r="H167" i="1"/>
  <c r="G167" i="1"/>
  <c r="H166" i="1"/>
  <c r="H165" i="1"/>
  <c r="E165" i="1"/>
  <c r="E159" i="1" s="1"/>
  <c r="D165" i="1"/>
  <c r="I164" i="1"/>
  <c r="H164" i="1"/>
  <c r="F164" i="1"/>
  <c r="I163" i="1"/>
  <c r="H163" i="1"/>
  <c r="F163" i="1"/>
  <c r="I162" i="1"/>
  <c r="F162" i="1"/>
  <c r="I161" i="1"/>
  <c r="F161" i="1"/>
  <c r="F160" i="1" s="1"/>
  <c r="F159" i="1" s="1"/>
  <c r="I160" i="1"/>
  <c r="I159" i="1" s="1"/>
  <c r="E160" i="1"/>
  <c r="D160" i="1"/>
  <c r="D159" i="1" s="1"/>
  <c r="I158" i="1"/>
  <c r="H158" i="1"/>
  <c r="F158" i="1"/>
  <c r="H157" i="1"/>
  <c r="I156" i="1"/>
  <c r="H156" i="1"/>
  <c r="G156" i="1"/>
  <c r="F156" i="1"/>
  <c r="I155" i="1"/>
  <c r="I154" i="1" s="1"/>
  <c r="G155" i="1"/>
  <c r="H155" i="1" s="1"/>
  <c r="H154" i="1" s="1"/>
  <c r="F155" i="1"/>
  <c r="F154" i="1" s="1"/>
  <c r="F176" i="1" s="1"/>
  <c r="E154" i="1"/>
  <c r="D154" i="1"/>
  <c r="D176" i="1" s="1"/>
  <c r="C152" i="1"/>
  <c r="H132" i="1"/>
  <c r="H131" i="1"/>
  <c r="H129" i="1"/>
  <c r="F129" i="1"/>
  <c r="I128" i="1"/>
  <c r="H128" i="1"/>
  <c r="G128" i="1"/>
  <c r="F128" i="1"/>
  <c r="I127" i="1"/>
  <c r="G127" i="1"/>
  <c r="H127" i="1" s="1"/>
  <c r="F127" i="1"/>
  <c r="I126" i="1"/>
  <c r="H126" i="1"/>
  <c r="G126" i="1"/>
  <c r="F126" i="1"/>
  <c r="I125" i="1"/>
  <c r="G125" i="1"/>
  <c r="H125" i="1" s="1"/>
  <c r="F125" i="1"/>
  <c r="I124" i="1"/>
  <c r="H124" i="1"/>
  <c r="G124" i="1"/>
  <c r="F124" i="1"/>
  <c r="I123" i="1"/>
  <c r="G123" i="1"/>
  <c r="H123" i="1" s="1"/>
  <c r="F123" i="1"/>
  <c r="I122" i="1"/>
  <c r="H122" i="1"/>
  <c r="H121" i="1" s="1"/>
  <c r="H120" i="1" s="1"/>
  <c r="G122" i="1"/>
  <c r="G121" i="1" s="1"/>
  <c r="G120" i="1" s="1"/>
  <c r="F122" i="1"/>
  <c r="F121" i="1" s="1"/>
  <c r="F120" i="1" s="1"/>
  <c r="I121" i="1"/>
  <c r="I120" i="1" s="1"/>
  <c r="E121" i="1"/>
  <c r="E120" i="1" s="1"/>
  <c r="D121" i="1"/>
  <c r="D120" i="1" s="1"/>
  <c r="D133" i="1" s="1"/>
  <c r="I119" i="1"/>
  <c r="G119" i="1"/>
  <c r="H119" i="1" s="1"/>
  <c r="F119" i="1"/>
  <c r="I118" i="1"/>
  <c r="I117" i="1" s="1"/>
  <c r="G118" i="1"/>
  <c r="H118" i="1" s="1"/>
  <c r="F118" i="1"/>
  <c r="G117" i="1"/>
  <c r="G133" i="1" s="1"/>
  <c r="F117" i="1"/>
  <c r="E117" i="1"/>
  <c r="D117" i="1"/>
  <c r="C114" i="1"/>
  <c r="H110" i="1"/>
  <c r="F110" i="1"/>
  <c r="D110" i="1"/>
  <c r="G62" i="1"/>
  <c r="G61" i="1"/>
  <c r="H56" i="1"/>
  <c r="I32" i="1" s="1"/>
  <c r="F56" i="1"/>
  <c r="G56" i="1" s="1"/>
  <c r="E56" i="1"/>
  <c r="F32" i="1" s="1"/>
  <c r="H44" i="1"/>
  <c r="H43" i="1"/>
  <c r="H42" i="1"/>
  <c r="I41" i="1"/>
  <c r="G41" i="1"/>
  <c r="F41" i="1"/>
  <c r="H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I34" i="1" s="1"/>
  <c r="G36" i="1"/>
  <c r="H36" i="1" s="1"/>
  <c r="F36" i="1"/>
  <c r="F35" i="1"/>
  <c r="E34" i="1"/>
  <c r="D34" i="1"/>
  <c r="D26" i="1" s="1"/>
  <c r="I33" i="1"/>
  <c r="H33" i="1"/>
  <c r="G33" i="1"/>
  <c r="F33" i="1"/>
  <c r="H31" i="1"/>
  <c r="F31" i="1"/>
  <c r="H30" i="1"/>
  <c r="F30" i="1"/>
  <c r="H29" i="1"/>
  <c r="F29" i="1"/>
  <c r="H28" i="1"/>
  <c r="F28" i="1"/>
  <c r="E27" i="1"/>
  <c r="D27" i="1"/>
  <c r="E26" i="1"/>
  <c r="I25" i="1"/>
  <c r="G25" i="1"/>
  <c r="H25" i="1" s="1"/>
  <c r="H23" i="1" s="1"/>
  <c r="F25" i="1"/>
  <c r="F23" i="1" s="1"/>
  <c r="I24" i="1"/>
  <c r="I23" i="1" s="1"/>
  <c r="H24" i="1"/>
  <c r="G24" i="1"/>
  <c r="G23" i="1" s="1"/>
  <c r="F24" i="1"/>
  <c r="E23" i="1"/>
  <c r="E45" i="1" s="1"/>
  <c r="D23" i="1"/>
  <c r="D45" i="1" s="1"/>
  <c r="H16" i="1"/>
  <c r="F16" i="1"/>
  <c r="D16" i="1"/>
  <c r="H160" i="1" l="1"/>
  <c r="H159" i="1" s="1"/>
  <c r="H176" i="1" s="1"/>
  <c r="G160" i="1"/>
  <c r="G159" i="1" s="1"/>
  <c r="I27" i="1"/>
  <c r="I26" i="1" s="1"/>
  <c r="I45" i="1" s="1"/>
  <c r="G32" i="1"/>
  <c r="F34" i="1"/>
  <c r="F27" i="1"/>
  <c r="G34" i="1"/>
  <c r="H34" i="1" s="1"/>
  <c r="H210" i="1"/>
  <c r="E176" i="1"/>
  <c r="I133" i="1"/>
  <c r="H314" i="1"/>
  <c r="H325" i="1" s="1"/>
  <c r="E357" i="1"/>
  <c r="H117" i="1"/>
  <c r="H133" i="1" s="1"/>
  <c r="I176" i="1"/>
  <c r="E133" i="1"/>
  <c r="F133" i="1"/>
  <c r="H35" i="1"/>
  <c r="G230" i="1"/>
  <c r="G154" i="1"/>
  <c r="F357" i="1"/>
  <c r="F288" i="1"/>
  <c r="G288" i="1" s="1"/>
  <c r="G176" i="1" l="1"/>
  <c r="H32" i="1"/>
  <c r="H27" i="1" s="1"/>
  <c r="H26" i="1" s="1"/>
  <c r="H45" i="1" s="1"/>
  <c r="G27" i="1"/>
  <c r="G26" i="1" s="1"/>
  <c r="G45" i="1" s="1"/>
  <c r="F26" i="1"/>
  <c r="F45" i="1" s="1"/>
</calcChain>
</file>

<file path=xl/sharedStrings.xml><?xml version="1.0" encoding="utf-8"?>
<sst xmlns="http://schemas.openxmlformats.org/spreadsheetml/2006/main" count="333" uniqueCount="150">
  <si>
    <t>FANGST AV TORSK, HYSE, SEI, BLÅKVEITE, SNABELUER OG REKER I 2022</t>
  </si>
  <si>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</si>
  <si>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</si>
  <si>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</si>
  <si>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</si>
  <si>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</si>
  <si>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</si>
  <si>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</si>
  <si>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</si>
  <si>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</si>
  <si>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</si>
  <si>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</si>
  <si>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</si>
  <si>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</si>
  <si>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Ferskfiskordning</t>
  </si>
  <si>
    <t>TAC inkl. norsk kysttorsk</t>
  </si>
  <si>
    <t>Disp. norsk kvote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</si>
  <si>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</si>
  <si>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</si>
  <si>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</si>
  <si>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</si>
  <si>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</si>
  <si>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</si>
  <si>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</si>
  <si>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</si>
  <si>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</si>
  <si>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</si>
  <si>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</si>
  <si>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</si>
  <si>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</si>
  <si>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</si>
  <si>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</si>
  <si>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</si>
  <si>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</si>
  <si>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</si>
  <si>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</si>
  <si>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</si>
  <si>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</si>
  <si>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</si>
  <si>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</si>
  <si>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</si>
  <si>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</si>
  <si>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</si>
  <si>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</si>
  <si>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</si>
  <si>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</si>
  <si>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</si>
  <si>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</si>
  <si>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</si>
  <si>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</si>
  <si>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</si>
  <si>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</si>
  <si>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</si>
  <si>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</si>
  <si>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</t>
    </r>
  </si>
  <si>
    <t>HYSE NORD FOR 62°N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</si>
  <si>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</si>
  <si>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TAC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</si>
  <si>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</si>
  <si>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</si>
  <si>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</si>
  <si>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</si>
  <si>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</si>
  <si>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</si>
  <si>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</si>
  <si>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</si>
  <si>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</si>
  <si>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</si>
  <si>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</si>
  <si>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</si>
  <si>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</si>
  <si>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</si>
  <si>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</si>
  <si>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</si>
  <si>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</si>
  <si>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</si>
  <si>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</si>
  <si>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</si>
  <si>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</si>
  <si>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</si>
  <si>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</si>
  <si>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</si>
  <si>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</si>
  <si>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</si>
  <si>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</si>
  <si>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</si>
  <si>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</si>
  <si>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</si>
  <si>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</si>
  <si>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</si>
  <si>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</si>
  <si>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</si>
  <si>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</si>
  <si>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</si>
  <si>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</si>
  <si>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</si>
  <si>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</si>
  <si>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</si>
  <si>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</si>
  <si>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</si>
  <si>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</si>
  <si>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</si>
  <si>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</si>
  <si>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</si>
  <si>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</si>
  <si>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</si>
  <si>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</si>
  <si>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</si>
  <si>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</si>
  <si>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</si>
  <si>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</si>
  <si>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</si>
  <si>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</si>
  <si>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</si>
  <si>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</si>
  <si>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</si>
  <si>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</si>
  <si>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</si>
  <si>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</si>
  <si>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</si>
  <si>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</si>
  <si>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</si>
  <si>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</si>
  <si>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</si>
  <si>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</si>
  <si>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</si>
  <si>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</si>
  <si>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</si>
  <si>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</si>
  <si>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</si>
  <si>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</si>
  <si>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</si>
  <si>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</si>
  <si>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</si>
  <si>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</si>
  <si>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</si>
  <si>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</si>
  <si>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</si>
  <si>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</si>
  <si>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</si>
  <si>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</si>
  <si>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</si>
  <si>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FANGST UKE 41</t>
  </si>
  <si>
    <t>FANGST T.O.M UKE 41</t>
  </si>
  <si>
    <t>RESTKVOTER UKE 41</t>
  </si>
  <si>
    <t>FANGST T.O.M UKE 41 2021</t>
  </si>
  <si>
    <r>
      <t xml:space="preserve">3 </t>
    </r>
    <r>
      <rPr>
        <sz val="9"/>
        <color indexed="8"/>
        <rFont val="Calibri"/>
        <family val="2"/>
      </rPr>
      <t>Registrert rekreasjonsfiske utgjør 783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</si>
  <si>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53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</si>
  <si>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482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</si>
  <si>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7 651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</si>
</sst>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8" x14ac:knownFonts="1">
    <font>
      <sz val="12"/>
      <color theme="1"/>
      <name val="Calibri"/>
      <family val="2"/>
      <scheme val="minor"/>
    </font>
    <font>
      <sz val="11"/>
      <color theme="1"/>
      <name val="Calibri"/>
    </font>
    <font>
      <sz val="13"/>
      <color theme="1"/>
      <name val="Calibri"/>
    </font>
    <font>
      <sz val="9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9"/>
      <color rgb="FF000000"/>
      <name val="Calibri"/>
    </font>
    <font>
      <b/>
      <sz val="11"/>
      <color theme="1"/>
      <name val="Calibri"/>
    </font>
    <font>
      <b/>
      <sz val="13"/>
      <color theme="5" tint="-0.249977111117893"/>
      <name val="Calibri"/>
    </font>
    <font>
      <sz val="12"/>
      <color theme="1"/>
      <name val="Calibri"/>
    </font>
    <font>
      <b/>
      <sz val="14"/>
      <color theme="5" tint="-0.249977111117893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9"/>
      <color rgb="FFFF0000"/>
      <name val="Calibri"/>
    </font>
    <font>
      <b/>
      <sz val="11"/>
      <color rgb="FFFF0000"/>
      <name val="Calibri"/>
    </font>
    <font>
      <b/>
      <i/>
      <sz val="11"/>
      <color theme="1"/>
      <name val="Calibri"/>
    </font>
    <font>
      <i/>
      <sz val="10"/>
      <color theme="1"/>
      <name val="Calibri"/>
    </font>
    <font>
      <i/>
      <sz val="11"/>
      <color theme="1"/>
      <name val="Calibri"/>
    </font>
    <font>
      <sz val="9"/>
      <color indexed="8"/>
      <name val="Calibri"/>
    </font>
    <font>
      <sz val="11"/>
      <color theme="1"/>
      <name val="MS Sans Serif"/>
    </font>
    <font>
      <b/>
      <i/>
      <sz val="10"/>
      <color theme="1"/>
      <name val="Calibri"/>
    </font>
    <font>
      <sz val="10"/>
      <color theme="1"/>
      <name val="Calibri"/>
    </font>
    <font>
      <sz val="11"/>
      <color rgb="FFFF0000"/>
      <name val="Calibri"/>
    </font>
    <font>
      <b/>
      <sz val="11"/>
      <color rgb="FFC00000"/>
      <name val="Calibri"/>
    </font>
    <font>
      <i/>
      <sz val="10"/>
      <color theme="1"/>
      <name val="Calibri"/>
      <family val="2"/>
    </font>
    <font>
      <b/>
      <sz val="20"/>
      <color theme="4" tint="-0.249977111117893"/>
      <name val="Calibri"/>
    </font>
    <font>
      <b/>
      <sz val="16"/>
      <color theme="5" tint="-0.249977111117893"/>
      <name val="Calibri"/>
    </font>
    <font>
      <sz val="14"/>
      <color theme="1"/>
      <name val="Calibri"/>
    </font>
    <font>
      <sz val="11"/>
      <color rgb="FFC00000"/>
      <name val="Calibri"/>
    </font>
    <font>
      <b/>
      <sz val="13"/>
      <color rgb="FFFF0000"/>
      <name val="Calibri"/>
    </font>
    <font>
      <b/>
      <sz val="12"/>
      <color rgb="FFFF0000"/>
      <name val="Calibri"/>
    </font>
    <font>
      <vertAlign val="superscript"/>
      <sz val="11"/>
      <color theme="1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 indent="1"/>
    </xf>
    <xf numFmtId="0" fontId="1" fillId="0" borderId="24" xfId="0" applyFont="1" applyBorder="1" applyAlignment="1">
      <alignment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3" fontId="1" fillId="0" borderId="29" xfId="0" applyNumberFormat="1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0" fontId="6" fillId="2" borderId="32" xfId="0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3" fontId="3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16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" fillId="0" borderId="1" xfId="0" applyFont="1" applyBorder="1"/>
    <xf numFmtId="3" fontId="23" fillId="0" borderId="0" xfId="0" applyNumberFormat="1" applyFont="1" applyAlignment="1">
      <alignment vertical="center"/>
    </xf>
    <xf numFmtId="0" fontId="3" fillId="0" borderId="43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7" xfId="0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3" fontId="8" fillId="0" borderId="33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indent="1"/>
    </xf>
    <xf numFmtId="3" fontId="24" fillId="0" borderId="33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8" xfId="0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/>
    <xf numFmtId="0" fontId="10" fillId="0" borderId="0" xfId="0" applyFont="1" applyAlignment="1">
      <alignment vertical="center"/>
    </xf>
    <xf numFmtId="0" fontId="6" fillId="2" borderId="28" xfId="0" applyFont="1" applyFill="1" applyBorder="1" applyAlignment="1">
      <alignment vertical="center" wrapText="1"/>
    </xf>
    <xf numFmtId="3" fontId="1" fillId="0" borderId="40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8" fillId="0" borderId="37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9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3" xfId="0" applyFont="1" applyBorder="1" applyAlignment="1">
      <alignment vertical="center"/>
    </xf>
    <xf numFmtId="3" fontId="17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25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0" fontId="1" fillId="0" borderId="4" xfId="0" applyFont="1" applyBorder="1"/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27" fillId="0" borderId="0" xfId="0" applyFont="1"/>
    <xf numFmtId="0" fontId="28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32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2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0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0" fontId="10" fillId="0" borderId="40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3" fillId="0" borderId="40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9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3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44"/>
  <sheetViews>
    <sheetView showGridLines="0" tabSelected="1" showRuler="0" view="pageLayout" zoomScale="85" zoomScaleNormal="85" zoomScaleSheetLayoutView="100" zoomScalePageLayoutView="85" workbookViewId="0">
      <selection activeCell="G20" sqref="G20"/>
    </sheetView>
  </sheetViews>
  <sheetFormatPr baseColWidth="10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9" t="s">
        <v>0</v>
      </c>
      <c r="C2" s="300"/>
      <c r="D2" s="300"/>
      <c r="E2" s="300"/>
      <c r="F2" s="300"/>
      <c r="G2" s="300"/>
      <c r="H2" s="300"/>
      <c r="I2" s="300"/>
      <c r="J2" s="301"/>
    </row>
    <row r="3" spans="1:10" ht="14.85" customHeight="1" x14ac:dyDescent="0.25">
      <c r="A3" s="1"/>
      <c r="B3" s="1"/>
      <c r="C3" s="1" t="s">
        <v>141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141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141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141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141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9" t="s">
        <v>1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2"/>
      <c r="C9" s="303"/>
      <c r="D9" s="303"/>
      <c r="E9" s="303"/>
      <c r="F9" s="303"/>
      <c r="G9" s="303"/>
      <c r="H9" s="303"/>
      <c r="I9" s="303"/>
      <c r="J9" s="304"/>
    </row>
    <row r="10" spans="1:10" ht="12" customHeight="1" x14ac:dyDescent="0.25">
      <c r="A10" s="1"/>
      <c r="B10" s="254"/>
      <c r="C10" s="1"/>
      <c r="D10" s="1"/>
      <c r="E10" s="1"/>
      <c r="F10" s="1"/>
      <c r="G10" s="1"/>
      <c r="H10" s="1"/>
      <c r="I10" s="1"/>
      <c r="J10" s="123"/>
    </row>
    <row r="11" spans="1:10" ht="14.1" customHeight="1" x14ac:dyDescent="0.25">
      <c r="A11" s="161"/>
      <c r="B11" s="54"/>
      <c r="C11" s="296" t="s">
        <v>2</v>
      </c>
      <c r="D11" s="297"/>
      <c r="E11" s="296" t="s">
        <v>3</v>
      </c>
      <c r="F11" s="297"/>
      <c r="G11" s="296" t="s">
        <v>4</v>
      </c>
      <c r="H11" s="297"/>
      <c r="I11" s="183"/>
      <c r="J11" s="244"/>
    </row>
    <row r="12" spans="1:10" ht="14.1" customHeight="1" x14ac:dyDescent="0.25">
      <c r="A12" s="1"/>
      <c r="B12" s="254"/>
      <c r="C12" s="103"/>
      <c r="D12" s="103"/>
      <c r="E12" s="103" t="s">
        <v>5</v>
      </c>
      <c r="F12" s="117">
        <v>101129</v>
      </c>
      <c r="G12" s="118" t="s">
        <v>6</v>
      </c>
      <c r="H12" s="117">
        <v>27529</v>
      </c>
      <c r="I12" s="183"/>
      <c r="J12" s="244"/>
    </row>
    <row r="13" spans="1:10" ht="15.75" customHeight="1" x14ac:dyDescent="0.25">
      <c r="A13" s="1"/>
      <c r="B13" s="254"/>
      <c r="C13" s="118" t="s">
        <v>7</v>
      </c>
      <c r="D13" s="120">
        <v>321605</v>
      </c>
      <c r="E13" s="118" t="s">
        <v>8</v>
      </c>
      <c r="F13" s="120">
        <v>214900</v>
      </c>
      <c r="G13" s="118" t="s">
        <v>9</v>
      </c>
      <c r="H13" s="120">
        <v>154479</v>
      </c>
      <c r="I13" s="183"/>
      <c r="J13" s="244"/>
    </row>
    <row r="14" spans="1:10" ht="14.25" customHeight="1" x14ac:dyDescent="0.25">
      <c r="A14" s="1"/>
      <c r="B14" s="254"/>
      <c r="C14" s="118" t="s">
        <v>10</v>
      </c>
      <c r="D14" s="120">
        <v>309605</v>
      </c>
      <c r="E14" s="118" t="s">
        <v>11</v>
      </c>
      <c r="F14" s="120">
        <v>20438</v>
      </c>
      <c r="G14" s="118" t="s">
        <v>12</v>
      </c>
      <c r="H14" s="120">
        <v>19092</v>
      </c>
      <c r="I14" s="183"/>
      <c r="J14" s="244"/>
    </row>
    <row r="15" spans="1:10" ht="15.75" customHeight="1" x14ac:dyDescent="0.25">
      <c r="A15" s="1"/>
      <c r="B15" s="254"/>
      <c r="C15" s="118" t="s">
        <v>13</v>
      </c>
      <c r="D15" s="120">
        <v>98270</v>
      </c>
      <c r="E15" s="151"/>
      <c r="F15" s="171"/>
      <c r="G15" s="170" t="s">
        <v>14</v>
      </c>
      <c r="H15" s="291">
        <v>13800</v>
      </c>
      <c r="I15" s="183"/>
      <c r="J15" s="244"/>
    </row>
    <row r="16" spans="1:10" ht="14.1" customHeight="1" x14ac:dyDescent="0.25">
      <c r="A16" s="1"/>
      <c r="B16" s="254"/>
      <c r="C16" s="182" t="s">
        <v>15</v>
      </c>
      <c r="D16" s="194">
        <f>SUM(D13:D15)</f>
        <v>729480</v>
      </c>
      <c r="E16" s="182" t="s">
        <v>16</v>
      </c>
      <c r="F16" s="194">
        <f>SUM(F12:F15)</f>
        <v>336467</v>
      </c>
      <c r="G16" s="182" t="s">
        <v>8</v>
      </c>
      <c r="H16" s="194">
        <f>SUM(H12:H15)</f>
        <v>214900</v>
      </c>
      <c r="J16" s="244"/>
    </row>
    <row r="17" spans="1:10" ht="15" customHeight="1" x14ac:dyDescent="0.25">
      <c r="A17" s="101"/>
      <c r="B17" s="24"/>
      <c r="C17" s="101" t="s">
        <v>17</v>
      </c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41"/>
      <c r="C18" s="272"/>
      <c r="D18" s="272"/>
      <c r="E18" s="114"/>
      <c r="F18" s="272"/>
      <c r="G18" s="272"/>
      <c r="H18" s="272"/>
      <c r="I18" s="272"/>
      <c r="J18" s="188"/>
    </row>
    <row r="19" spans="1:10" ht="15" customHeight="1" x14ac:dyDescent="0.2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25">
      <c r="A20" s="1"/>
      <c r="B20" s="254"/>
      <c r="C20" s="18" t="s">
        <v>18</v>
      </c>
      <c r="D20" s="258"/>
      <c r="E20" s="275"/>
      <c r="F20" s="258"/>
      <c r="G20" s="258"/>
      <c r="H20" s="206"/>
      <c r="I20" s="258"/>
      <c r="J20" s="3"/>
    </row>
    <row r="21" spans="1:10" ht="12" customHeight="1" x14ac:dyDescent="0.25">
      <c r="A21" s="1"/>
      <c r="B21" s="254"/>
      <c r="C21" s="31"/>
      <c r="D21" s="1"/>
      <c r="E21" s="1"/>
      <c r="F21" s="1"/>
      <c r="G21" s="1"/>
      <c r="H21" s="1"/>
      <c r="I21" s="1"/>
      <c r="J21" s="123"/>
    </row>
    <row r="22" spans="1:10" ht="61.5" customHeight="1" x14ac:dyDescent="0.25">
      <c r="A22" s="161"/>
      <c r="B22" s="54"/>
      <c r="C22" s="15" t="s">
        <v>19</v>
      </c>
      <c r="D22" s="113" t="s">
        <v>20</v>
      </c>
      <c r="E22" s="68" t="s">
        <v>21</v>
      </c>
      <c r="F22" s="68" t="s">
        <v>142</v>
      </c>
      <c r="G22" s="68" t="s">
        <v>143</v>
      </c>
      <c r="H22" s="68" t="s">
        <v>144</v>
      </c>
      <c r="I22" s="68" t="s">
        <v>145</v>
      </c>
      <c r="J22" s="280"/>
    </row>
    <row r="23" spans="1:10" ht="14.1" customHeight="1" x14ac:dyDescent="0.25">
      <c r="A23" s="1"/>
      <c r="B23" s="254"/>
      <c r="C23" s="16" t="s">
        <v>22</v>
      </c>
      <c r="D23" s="28">
        <f t="shared" ref="D23:I23" si="0">D25+D24</f>
        <v>101129</v>
      </c>
      <c r="E23" s="28">
        <f t="shared" si="0"/>
        <v>112692</v>
      </c>
      <c r="F23" s="28">
        <f t="shared" si="0"/>
        <v>1061.47659</v>
      </c>
      <c r="G23" s="28">
        <f t="shared" si="0"/>
        <v>78630.777929999997</v>
      </c>
      <c r="H23" s="11">
        <f t="shared" si="0"/>
        <v>34061.222070000003</v>
      </c>
      <c r="I23" s="11">
        <f t="shared" si="0"/>
        <v>72260.681859999997</v>
      </c>
      <c r="J23" s="244"/>
    </row>
    <row r="24" spans="1:10" ht="14.1" customHeight="1" x14ac:dyDescent="0.25">
      <c r="A24" s="1"/>
      <c r="B24" s="254"/>
      <c r="C24" s="47" t="s">
        <v>23</v>
      </c>
      <c r="D24" s="48">
        <v>100379</v>
      </c>
      <c r="E24" s="23">
        <v>111899</v>
      </c>
      <c r="F24" s="23">
        <f>978.60525</f>
        <v>978.60524999999996</v>
      </c>
      <c r="G24" s="23">
        <f>78100.95764</f>
        <v>78100.957639999993</v>
      </c>
      <c r="H24" s="23">
        <f>E24-G24</f>
        <v>33798.042360000007</v>
      </c>
      <c r="I24" s="23">
        <f>71802.20116</f>
        <v>71802.201159999997</v>
      </c>
      <c r="J24" s="244"/>
    </row>
    <row r="25" spans="1:10" ht="14.1" customHeight="1" x14ac:dyDescent="0.25">
      <c r="A25" s="1"/>
      <c r="B25" s="254"/>
      <c r="C25" s="50" t="s">
        <v>24</v>
      </c>
      <c r="D25" s="51">
        <v>750</v>
      </c>
      <c r="E25" s="52">
        <v>793</v>
      </c>
      <c r="F25" s="175">
        <f>82.87134</f>
        <v>82.871340000000004</v>
      </c>
      <c r="G25" s="23">
        <f>529.82029</f>
        <v>529.82029</v>
      </c>
      <c r="H25" s="23">
        <f>E25-G25</f>
        <v>263.17971</v>
      </c>
      <c r="I25" s="23">
        <f>458.4807</f>
        <v>458.48070000000001</v>
      </c>
      <c r="J25" s="244"/>
    </row>
    <row r="26" spans="1:10" ht="14.1" customHeight="1" x14ac:dyDescent="0.25">
      <c r="A26" s="1"/>
      <c r="B26" s="254"/>
      <c r="C26" s="16" t="s">
        <v>25</v>
      </c>
      <c r="D26" s="28">
        <f t="shared" ref="D26:I26" si="1">D34+D33+D27</f>
        <v>221589</v>
      </c>
      <c r="E26" s="28">
        <f t="shared" si="1"/>
        <v>258016</v>
      </c>
      <c r="F26" s="28">
        <f t="shared" si="1"/>
        <v>1451.6775399999999</v>
      </c>
      <c r="G26" s="11">
        <f t="shared" si="1"/>
        <v>215041.40813</v>
      </c>
      <c r="H26" s="11">
        <f t="shared" si="1"/>
        <v>42974.591870000004</v>
      </c>
      <c r="I26" s="11">
        <f t="shared" si="1"/>
        <v>223404.55718100001</v>
      </c>
      <c r="J26" s="244"/>
    </row>
    <row r="27" spans="1:10" ht="15" customHeight="1" x14ac:dyDescent="0.25">
      <c r="A27" s="53"/>
      <c r="B27" s="55"/>
      <c r="C27" s="59" t="s">
        <v>26</v>
      </c>
      <c r="D27" s="60">
        <f t="shared" ref="D27:I27" si="2">D28+D29+D30+D31+D32</f>
        <v>173468</v>
      </c>
      <c r="E27" s="60">
        <f t="shared" si="2"/>
        <v>198922</v>
      </c>
      <c r="F27" s="136">
        <f>F28+F29+F30+F31+F32</f>
        <v>1233.3807099999999</v>
      </c>
      <c r="G27" s="136">
        <f t="shared" si="2"/>
        <v>173984.36647000001</v>
      </c>
      <c r="H27" s="136">
        <f t="shared" si="2"/>
        <v>24937.633530000006</v>
      </c>
      <c r="I27" s="136">
        <f t="shared" si="2"/>
        <v>184162.88841100002</v>
      </c>
      <c r="J27" s="244"/>
    </row>
    <row r="28" spans="1:10" ht="14.1" customHeight="1" x14ac:dyDescent="0.25">
      <c r="A28" s="202"/>
      <c r="B28" s="186"/>
      <c r="C28" s="64" t="s">
        <v>27</v>
      </c>
      <c r="D28" s="65">
        <v>41926</v>
      </c>
      <c r="E28" s="130">
        <v>50598</v>
      </c>
      <c r="F28" s="207">
        <f>139.44926</f>
        <v>139.44926000000001</v>
      </c>
      <c r="G28" s="130">
        <f>43890.51267-F57</f>
        <v>42995.512669999996</v>
      </c>
      <c r="H28" s="130">
        <f t="shared" ref="H28:H40" si="3">E28-G28</f>
        <v>7602.4873300000036</v>
      </c>
      <c r="I28" s="130">
        <f>44301.98161-H57</f>
        <v>42613.981610000003</v>
      </c>
      <c r="J28" s="67"/>
    </row>
    <row r="29" spans="1:10" ht="14.1" customHeight="1" x14ac:dyDescent="0.25">
      <c r="A29" s="202"/>
      <c r="B29" s="186"/>
      <c r="C29" s="64" t="s">
        <v>28</v>
      </c>
      <c r="D29" s="65">
        <v>46636</v>
      </c>
      <c r="E29" s="130">
        <v>52093</v>
      </c>
      <c r="F29" s="130">
        <f>474.50651</f>
        <v>474.50650999999999</v>
      </c>
      <c r="G29" s="130">
        <f>49645.9819-F58</f>
        <v>47227.981899999999</v>
      </c>
      <c r="H29" s="130">
        <f t="shared" si="3"/>
        <v>4865.0181000000011</v>
      </c>
      <c r="I29" s="130">
        <f>53494.5112-H58</f>
        <v>50623.511200000001</v>
      </c>
      <c r="J29" s="67"/>
    </row>
    <row r="30" spans="1:10" ht="14.1" customHeight="1" x14ac:dyDescent="0.25">
      <c r="A30" s="202"/>
      <c r="B30" s="186"/>
      <c r="C30" s="64" t="s">
        <v>29</v>
      </c>
      <c r="D30" s="65">
        <v>42297</v>
      </c>
      <c r="E30" s="130">
        <v>50736</v>
      </c>
      <c r="F30" s="130">
        <f>154.41551</f>
        <v>154.41551000000001</v>
      </c>
      <c r="G30" s="130">
        <f>46274.58487-F59</f>
        <v>44305.584869999999</v>
      </c>
      <c r="H30" s="130">
        <f t="shared" si="3"/>
        <v>6430.4151300000012</v>
      </c>
      <c r="I30" s="130">
        <f>47935.305389-H59</f>
        <v>44239.305389000001</v>
      </c>
      <c r="J30" s="67"/>
    </row>
    <row r="31" spans="1:10" ht="14.1" customHeight="1" x14ac:dyDescent="0.25">
      <c r="A31" s="202"/>
      <c r="B31" s="186"/>
      <c r="C31" s="64" t="s">
        <v>30</v>
      </c>
      <c r="D31" s="65">
        <v>30309</v>
      </c>
      <c r="E31" s="130">
        <v>33195</v>
      </c>
      <c r="F31" s="130">
        <f>67.00943</f>
        <v>67.009429999999995</v>
      </c>
      <c r="G31" s="130">
        <f>34173.28703-F60</f>
        <v>33030.28703</v>
      </c>
      <c r="H31" s="130">
        <f t="shared" si="3"/>
        <v>164.7129700000005</v>
      </c>
      <c r="I31" s="130">
        <f>38431.090212-H60</f>
        <v>36629.090212000003</v>
      </c>
      <c r="J31" s="67"/>
    </row>
    <row r="32" spans="1:10" ht="14.1" customHeight="1" x14ac:dyDescent="0.25">
      <c r="A32" s="202"/>
      <c r="B32" s="186"/>
      <c r="C32" s="64" t="s">
        <v>31</v>
      </c>
      <c r="D32" s="65">
        <v>12300</v>
      </c>
      <c r="E32" s="130">
        <v>12300</v>
      </c>
      <c r="F32" s="130">
        <f>E56</f>
        <v>398</v>
      </c>
      <c r="G32" s="130">
        <f>F56</f>
        <v>6425</v>
      </c>
      <c r="H32" s="130">
        <f t="shared" si="3"/>
        <v>5875</v>
      </c>
      <c r="I32" s="130">
        <f>H56</f>
        <v>10057</v>
      </c>
      <c r="J32" s="67"/>
    </row>
    <row r="33" spans="1:13" ht="14.1" customHeight="1" x14ac:dyDescent="0.25">
      <c r="A33" s="69"/>
      <c r="B33" s="55"/>
      <c r="C33" s="59" t="s">
        <v>32</v>
      </c>
      <c r="D33" s="60">
        <v>27529</v>
      </c>
      <c r="E33" s="60">
        <v>31735</v>
      </c>
      <c r="F33" s="136">
        <f>149.99425</f>
        <v>149.99424999999999</v>
      </c>
      <c r="G33" s="136">
        <f>20033.73889</f>
        <v>20033.738890000001</v>
      </c>
      <c r="H33" s="136">
        <f t="shared" si="3"/>
        <v>11701.261109999999</v>
      </c>
      <c r="I33" s="136">
        <f>20895.65614</f>
        <v>20895.656139999999</v>
      </c>
      <c r="J33" s="67"/>
    </row>
    <row r="34" spans="1:13" ht="14.1" customHeight="1" x14ac:dyDescent="0.25">
      <c r="A34" s="69"/>
      <c r="B34" s="55"/>
      <c r="C34" s="59" t="s">
        <v>33</v>
      </c>
      <c r="D34" s="60">
        <f>D35+D36</f>
        <v>20592</v>
      </c>
      <c r="E34" s="60">
        <f>E35+E36</f>
        <v>27359</v>
      </c>
      <c r="F34" s="136">
        <f>F35+F36</f>
        <v>68.302580000000006</v>
      </c>
      <c r="G34" s="136">
        <f>G35+G36</f>
        <v>21023.302769999998</v>
      </c>
      <c r="H34" s="136">
        <f t="shared" si="3"/>
        <v>6335.6972300000016</v>
      </c>
      <c r="I34" s="136">
        <f>I35+I36</f>
        <v>18346.012630000001</v>
      </c>
      <c r="J34" s="67"/>
    </row>
    <row r="35" spans="1:13" ht="14.1" customHeight="1" x14ac:dyDescent="0.25">
      <c r="A35" s="202"/>
      <c r="B35" s="186"/>
      <c r="C35" s="64" t="s">
        <v>34</v>
      </c>
      <c r="D35" s="65">
        <v>19092</v>
      </c>
      <c r="E35" s="71">
        <v>25859</v>
      </c>
      <c r="F35" s="130">
        <f>65.30258</f>
        <v>65.302580000000006</v>
      </c>
      <c r="G35" s="136">
        <f>22706.30277-F61-F62</f>
        <v>20339.302769999998</v>
      </c>
      <c r="H35" s="130">
        <f t="shared" si="3"/>
        <v>5519.6972300000016</v>
      </c>
      <c r="I35" s="130">
        <f>21437.01263-H61-H62</f>
        <v>17216.012630000001</v>
      </c>
      <c r="J35" s="67"/>
    </row>
    <row r="36" spans="1:13" ht="14.1" customHeight="1" x14ac:dyDescent="0.25">
      <c r="A36" s="202"/>
      <c r="B36" s="186"/>
      <c r="C36" s="72" t="s">
        <v>35</v>
      </c>
      <c r="D36" s="73">
        <v>1500</v>
      </c>
      <c r="E36" s="130">
        <v>1500</v>
      </c>
      <c r="F36" s="74">
        <f>E61</f>
        <v>3</v>
      </c>
      <c r="G36" s="74">
        <f>F61</f>
        <v>684</v>
      </c>
      <c r="H36" s="74">
        <f t="shared" si="3"/>
        <v>816</v>
      </c>
      <c r="I36" s="74">
        <f>H61</f>
        <v>1130</v>
      </c>
      <c r="J36" s="67"/>
    </row>
    <row r="37" spans="1:13" ht="15.75" customHeight="1" x14ac:dyDescent="0.25">
      <c r="A37" s="1"/>
      <c r="B37" s="254"/>
      <c r="C37" s="76" t="s">
        <v>36</v>
      </c>
      <c r="D37" s="148">
        <v>2500</v>
      </c>
      <c r="E37" s="143">
        <v>2500</v>
      </c>
      <c r="F37" s="143">
        <f>0</f>
        <v>0</v>
      </c>
      <c r="G37" s="143">
        <f>333.80295</f>
        <v>333.80295000000001</v>
      </c>
      <c r="H37" s="143">
        <f t="shared" si="3"/>
        <v>2166.1970499999998</v>
      </c>
      <c r="I37" s="143">
        <f>1315.878249</f>
        <v>1315.8782490000001</v>
      </c>
      <c r="J37" s="244"/>
    </row>
    <row r="38" spans="1:13" ht="14.1" customHeight="1" x14ac:dyDescent="0.25">
      <c r="A38" s="1"/>
      <c r="B38" s="254"/>
      <c r="C38" s="76" t="s">
        <v>37</v>
      </c>
      <c r="D38" s="148">
        <v>971</v>
      </c>
      <c r="E38" s="102">
        <v>971</v>
      </c>
      <c r="F38" s="102">
        <f>4.246</f>
        <v>4.2460000000000004</v>
      </c>
      <c r="G38" s="102">
        <f>473.56373</f>
        <v>473.56373000000002</v>
      </c>
      <c r="H38" s="102">
        <f t="shared" si="3"/>
        <v>497.43626999999998</v>
      </c>
      <c r="I38" s="102">
        <f>497.7227</f>
        <v>497.72269999999997</v>
      </c>
      <c r="J38" s="244"/>
    </row>
    <row r="39" spans="1:13" ht="17.25" customHeight="1" x14ac:dyDescent="0.25">
      <c r="A39" s="1"/>
      <c r="B39" s="254"/>
      <c r="C39" s="76" t="s">
        <v>38</v>
      </c>
      <c r="D39" s="148">
        <v>3028</v>
      </c>
      <c r="E39" s="143">
        <v>3827</v>
      </c>
      <c r="F39" s="102">
        <f>E62</f>
        <v>0</v>
      </c>
      <c r="G39" s="102">
        <f>F62</f>
        <v>1683</v>
      </c>
      <c r="H39" s="102">
        <f t="shared" si="3"/>
        <v>2144</v>
      </c>
      <c r="I39" s="102">
        <f>H62</f>
        <v>3091</v>
      </c>
      <c r="J39" s="244"/>
    </row>
    <row r="40" spans="1:13" ht="17.25" customHeight="1" x14ac:dyDescent="0.25">
      <c r="A40" s="1"/>
      <c r="B40" s="254"/>
      <c r="C40" s="76" t="s">
        <v>39</v>
      </c>
      <c r="D40" s="148">
        <v>7000</v>
      </c>
      <c r="E40" s="143">
        <v>7000</v>
      </c>
      <c r="F40" s="102">
        <f>1.98682</f>
        <v>1.98682</v>
      </c>
      <c r="G40" s="102">
        <v>7000</v>
      </c>
      <c r="H40" s="102">
        <f t="shared" si="3"/>
        <v>0</v>
      </c>
      <c r="I40" s="102">
        <v>7000</v>
      </c>
      <c r="J40" s="244"/>
    </row>
    <row r="41" spans="1:13" ht="17.25" customHeight="1" x14ac:dyDescent="0.25">
      <c r="A41" s="1"/>
      <c r="B41" s="254"/>
      <c r="C41" s="76" t="s">
        <v>40</v>
      </c>
      <c r="D41" s="148"/>
      <c r="E41" s="143"/>
      <c r="F41" s="102">
        <f>0</f>
        <v>0</v>
      </c>
      <c r="G41" s="102">
        <f>23.938</f>
        <v>23.937999999999999</v>
      </c>
      <c r="H41" s="102"/>
      <c r="I41" s="102">
        <f>2567.1722</f>
        <v>2567.1722</v>
      </c>
      <c r="J41" s="244"/>
    </row>
    <row r="42" spans="1:13" ht="17.25" customHeight="1" x14ac:dyDescent="0.25">
      <c r="A42" s="1"/>
      <c r="B42" s="254"/>
      <c r="C42" s="76" t="s">
        <v>41</v>
      </c>
      <c r="D42" s="148">
        <v>150</v>
      </c>
      <c r="E42" s="143">
        <v>150</v>
      </c>
      <c r="F42" s="102"/>
      <c r="G42" s="102"/>
      <c r="H42" s="102">
        <f>E42-G42</f>
        <v>150</v>
      </c>
      <c r="I42" s="102"/>
      <c r="J42" s="244"/>
    </row>
    <row r="43" spans="1:13" ht="17.25" customHeight="1" x14ac:dyDescent="0.25">
      <c r="A43" s="1"/>
      <c r="B43" s="254"/>
      <c r="C43" s="76" t="s">
        <v>42</v>
      </c>
      <c r="D43" s="148">
        <v>100</v>
      </c>
      <c r="E43" s="143">
        <v>100</v>
      </c>
      <c r="F43" s="102"/>
      <c r="G43" s="102">
        <v>4.0000000000000001E-3</v>
      </c>
      <c r="H43" s="102">
        <f>E43-G43</f>
        <v>99.995999999999995</v>
      </c>
      <c r="I43" s="102"/>
      <c r="J43" s="244"/>
      <c r="M43" s="225"/>
    </row>
    <row r="44" spans="1:13" ht="14.1" customHeight="1" x14ac:dyDescent="0.25">
      <c r="A44" s="1"/>
      <c r="B44" s="254"/>
      <c r="C44" s="76" t="s">
        <v>43</v>
      </c>
      <c r="D44" s="148"/>
      <c r="E44" s="143"/>
      <c r="F44" s="102">
        <v>2.9999999999290594E-3</v>
      </c>
      <c r="G44" s="102">
        <v>79.557000000029802</v>
      </c>
      <c r="H44" s="102">
        <f>E44-G44</f>
        <v>-79.557000000029802</v>
      </c>
      <c r="I44" s="102">
        <v>120.93842999998014</v>
      </c>
      <c r="J44" s="244"/>
    </row>
    <row r="45" spans="1:13" ht="16.5" customHeight="1" x14ac:dyDescent="0.25">
      <c r="A45" s="1"/>
      <c r="B45" s="254"/>
      <c r="C45" s="77" t="s">
        <v>44</v>
      </c>
      <c r="D45" s="80">
        <f t="shared" ref="D45:I45" si="4">D23+D26+D37+D38+D39+D40+D41+D42+D43+D44</f>
        <v>336467</v>
      </c>
      <c r="E45" s="80">
        <f t="shared" si="4"/>
        <v>385256</v>
      </c>
      <c r="F45" s="80">
        <f>F23+F26+F37+F38+F39+F40+F41+F42+F43+F44</f>
        <v>2519.3899499999998</v>
      </c>
      <c r="G45" s="80">
        <f t="shared" si="4"/>
        <v>303266.05174000002</v>
      </c>
      <c r="H45" s="80">
        <f t="shared" si="4"/>
        <v>82013.886259999985</v>
      </c>
      <c r="I45" s="80">
        <f t="shared" si="4"/>
        <v>310257.95061999996</v>
      </c>
      <c r="J45" s="244"/>
    </row>
    <row r="46" spans="1:13" ht="14.1" customHeight="1" x14ac:dyDescent="0.25">
      <c r="A46" s="101"/>
      <c r="B46" s="24"/>
      <c r="C46" s="81" t="s">
        <v>45</v>
      </c>
      <c r="D46" s="258"/>
      <c r="E46" s="258"/>
      <c r="F46" s="83"/>
      <c r="G46" s="83"/>
      <c r="H46" s="228"/>
      <c r="I46" s="228"/>
      <c r="J46" s="84"/>
    </row>
    <row r="47" spans="1:13" ht="14.1" customHeight="1" x14ac:dyDescent="0.25">
      <c r="A47" s="101"/>
      <c r="B47" s="24"/>
      <c r="C47" s="85" t="s">
        <v>46</v>
      </c>
      <c r="D47" s="258"/>
      <c r="E47" s="258"/>
      <c r="F47" s="258"/>
      <c r="G47" s="83"/>
      <c r="H47" s="183"/>
      <c r="I47" s="183"/>
      <c r="J47" s="244"/>
    </row>
    <row r="48" spans="1:13" ht="14.1" customHeight="1" x14ac:dyDescent="0.25">
      <c r="A48" s="101"/>
      <c r="B48" s="24"/>
      <c r="C48" s="165" t="s">
        <v>146</v>
      </c>
      <c r="D48" s="258"/>
      <c r="E48" s="258"/>
      <c r="F48" s="258"/>
      <c r="G48" s="83"/>
      <c r="H48" s="183"/>
      <c r="I48" s="183"/>
      <c r="J48" s="123"/>
    </row>
    <row r="49" spans="1:10" ht="14.1" customHeight="1" x14ac:dyDescent="0.25">
      <c r="A49" s="101"/>
      <c r="B49" s="24"/>
      <c r="C49" s="165" t="s">
        <v>47</v>
      </c>
      <c r="D49" s="258"/>
      <c r="E49" s="258"/>
      <c r="F49" s="258"/>
      <c r="G49" s="258"/>
      <c r="H49" s="183"/>
      <c r="I49" s="183"/>
      <c r="J49" s="123"/>
    </row>
    <row r="50" spans="1:10" ht="14.1" customHeight="1" x14ac:dyDescent="0.25">
      <c r="A50" s="101"/>
      <c r="B50" s="24"/>
      <c r="C50" s="101" t="s">
        <v>48</v>
      </c>
      <c r="D50" s="258"/>
      <c r="E50" s="258"/>
      <c r="F50" s="258"/>
      <c r="G50" s="258"/>
      <c r="H50" s="183"/>
      <c r="I50" s="183"/>
      <c r="J50" s="123"/>
    </row>
    <row r="51" spans="1:10" ht="14.1" customHeight="1" x14ac:dyDescent="0.25">
      <c r="A51" s="101"/>
      <c r="B51" s="24"/>
      <c r="C51" s="101"/>
      <c r="D51" s="258"/>
      <c r="E51" s="258"/>
      <c r="F51" s="258"/>
      <c r="G51" s="258"/>
      <c r="H51" s="183"/>
      <c r="I51" s="183"/>
      <c r="J51" s="123"/>
    </row>
    <row r="52" spans="1:10" ht="20.25" customHeight="1" x14ac:dyDescent="0.25">
      <c r="A52" s="101"/>
      <c r="B52" s="241"/>
      <c r="C52" s="272"/>
      <c r="D52" s="272"/>
      <c r="E52" s="114"/>
      <c r="F52" s="272"/>
      <c r="G52" s="272"/>
      <c r="H52" s="272"/>
      <c r="I52" s="272"/>
      <c r="J52" s="188"/>
    </row>
    <row r="53" spans="1:10" ht="33" customHeight="1" x14ac:dyDescent="0.25">
      <c r="A53" s="101"/>
      <c r="B53" s="24"/>
      <c r="C53" s="292" t="s">
        <v>49</v>
      </c>
      <c r="D53" s="292"/>
      <c r="E53" s="292"/>
      <c r="F53" s="292"/>
      <c r="G53" s="292"/>
      <c r="H53" s="292"/>
      <c r="I53" s="86"/>
      <c r="J53" s="87"/>
    </row>
    <row r="54" spans="1:10" ht="7.5" customHeight="1" x14ac:dyDescent="0.25">
      <c r="A54" s="101"/>
      <c r="B54" s="24"/>
      <c r="C54" s="165"/>
      <c r="D54" s="258"/>
      <c r="E54" s="258"/>
      <c r="F54" s="258"/>
      <c r="G54" s="258"/>
      <c r="H54" s="183"/>
      <c r="I54" s="183"/>
      <c r="J54" s="123"/>
    </row>
    <row r="55" spans="1:10" ht="61.5" customHeight="1" x14ac:dyDescent="0.25">
      <c r="A55" s="101"/>
      <c r="B55" s="24"/>
      <c r="C55" s="89" t="s">
        <v>19</v>
      </c>
      <c r="D55" s="68" t="s">
        <v>50</v>
      </c>
      <c r="E55" s="68" t="s">
        <v>142</v>
      </c>
      <c r="F55" s="68" t="s">
        <v>143</v>
      </c>
      <c r="G55" s="68" t="s">
        <v>144</v>
      </c>
      <c r="H55" s="68" t="s">
        <v>145</v>
      </c>
      <c r="I55" s="258"/>
      <c r="J55" s="244"/>
    </row>
    <row r="56" spans="1:10" ht="14.1" customHeight="1" x14ac:dyDescent="0.25">
      <c r="A56" s="101"/>
      <c r="B56" s="24"/>
      <c r="C56" s="16" t="s">
        <v>51</v>
      </c>
      <c r="D56" s="293">
        <v>12300</v>
      </c>
      <c r="E56" s="11">
        <f>E60+E59+E58+E57</f>
        <v>398</v>
      </c>
      <c r="F56" s="11">
        <f>F60+F59+F58+F57</f>
        <v>6425</v>
      </c>
      <c r="G56" s="293">
        <f>D56-F56</f>
        <v>5875</v>
      </c>
      <c r="H56" s="11">
        <f>H60+H59+H58+H57</f>
        <v>10057</v>
      </c>
      <c r="I56" s="258"/>
      <c r="J56" s="244"/>
    </row>
    <row r="57" spans="1:10" ht="14.1" customHeight="1" x14ac:dyDescent="0.25">
      <c r="A57" s="101"/>
      <c r="B57" s="24"/>
      <c r="C57" s="64" t="s">
        <v>27</v>
      </c>
      <c r="D57" s="294"/>
      <c r="E57" s="130">
        <v>66</v>
      </c>
      <c r="F57" s="130">
        <v>895</v>
      </c>
      <c r="G57" s="294"/>
      <c r="H57" s="130">
        <v>1688</v>
      </c>
      <c r="I57" s="258"/>
      <c r="J57" s="244"/>
    </row>
    <row r="58" spans="1:10" ht="14.1" customHeight="1" x14ac:dyDescent="0.25">
      <c r="A58" s="101"/>
      <c r="B58" s="24"/>
      <c r="C58" s="64" t="s">
        <v>28</v>
      </c>
      <c r="D58" s="294"/>
      <c r="E58" s="130">
        <v>183</v>
      </c>
      <c r="F58" s="130">
        <v>2418</v>
      </c>
      <c r="G58" s="294"/>
      <c r="H58" s="130">
        <v>2871</v>
      </c>
      <c r="I58" s="258"/>
      <c r="J58" s="244"/>
    </row>
    <row r="59" spans="1:10" ht="14.1" customHeight="1" x14ac:dyDescent="0.25">
      <c r="A59" s="101"/>
      <c r="B59" s="24"/>
      <c r="C59" s="64" t="s">
        <v>29</v>
      </c>
      <c r="D59" s="294"/>
      <c r="E59" s="130">
        <v>68</v>
      </c>
      <c r="F59" s="130">
        <v>1969</v>
      </c>
      <c r="G59" s="294"/>
      <c r="H59" s="130">
        <v>3696</v>
      </c>
      <c r="I59" s="258"/>
      <c r="J59" s="244"/>
    </row>
    <row r="60" spans="1:10" ht="14.1" customHeight="1" thickBot="1" x14ac:dyDescent="0.3">
      <c r="A60" s="101"/>
      <c r="B60" s="24"/>
      <c r="C60" s="91" t="s">
        <v>30</v>
      </c>
      <c r="D60" s="295"/>
      <c r="E60" s="196">
        <v>81</v>
      </c>
      <c r="F60" s="196">
        <v>1143</v>
      </c>
      <c r="G60" s="295"/>
      <c r="H60" s="196">
        <v>1802</v>
      </c>
      <c r="I60" s="258"/>
      <c r="J60" s="244"/>
    </row>
    <row r="61" spans="1:10" ht="14.1" customHeight="1" thickBot="1" x14ac:dyDescent="0.3">
      <c r="A61" s="101"/>
      <c r="B61" s="24"/>
      <c r="C61" s="92" t="s">
        <v>52</v>
      </c>
      <c r="D61" s="98">
        <v>1500</v>
      </c>
      <c r="E61" s="98">
        <v>3</v>
      </c>
      <c r="F61" s="98">
        <v>684</v>
      </c>
      <c r="G61" s="98">
        <f>D61-F61</f>
        <v>816</v>
      </c>
      <c r="H61" s="98">
        <v>1130</v>
      </c>
      <c r="I61" s="258"/>
      <c r="J61" s="244"/>
    </row>
    <row r="62" spans="1:10" ht="14.1" customHeight="1" thickBot="1" x14ac:dyDescent="0.3">
      <c r="A62" s="101"/>
      <c r="B62" s="24"/>
      <c r="C62" s="147" t="s">
        <v>53</v>
      </c>
      <c r="D62" s="143">
        <v>3827</v>
      </c>
      <c r="E62" s="143">
        <v>0</v>
      </c>
      <c r="F62" s="143">
        <v>1683</v>
      </c>
      <c r="G62" s="143">
        <f>D62-F62</f>
        <v>2144</v>
      </c>
      <c r="H62" s="143">
        <v>3091</v>
      </c>
      <c r="I62" s="258"/>
      <c r="J62" s="244"/>
    </row>
    <row r="63" spans="1:10" ht="14.1" customHeight="1" x14ac:dyDescent="0.25">
      <c r="A63" s="101"/>
      <c r="B63" s="24"/>
      <c r="C63" s="81" t="s">
        <v>54</v>
      </c>
      <c r="D63" s="258"/>
      <c r="E63" s="258"/>
      <c r="F63" s="258"/>
      <c r="G63" s="258"/>
      <c r="H63" s="183"/>
      <c r="I63" s="183"/>
      <c r="J63" s="123"/>
    </row>
    <row r="64" spans="1:10" ht="14.1" customHeight="1" x14ac:dyDescent="0.25">
      <c r="A64" s="101"/>
      <c r="B64" s="24"/>
      <c r="C64" s="165"/>
      <c r="D64" s="258"/>
      <c r="E64" s="258"/>
      <c r="F64" s="258"/>
      <c r="G64" s="258"/>
      <c r="H64" s="183"/>
      <c r="I64" s="183"/>
      <c r="J64" s="123"/>
    </row>
    <row r="65" spans="1:10" ht="15" customHeight="1" x14ac:dyDescent="0.25">
      <c r="A65" s="101"/>
      <c r="B65" s="24"/>
      <c r="C65" s="165"/>
      <c r="D65" s="258"/>
      <c r="E65" s="258"/>
      <c r="F65" s="258"/>
      <c r="G65" s="258"/>
      <c r="H65" s="183"/>
      <c r="I65" s="183"/>
      <c r="J65" s="123"/>
    </row>
    <row r="66" spans="1:10" ht="12" customHeight="1" x14ac:dyDescent="0.25">
      <c r="A66" s="101"/>
      <c r="B66" s="95"/>
      <c r="C66" s="201"/>
      <c r="D66" s="61"/>
      <c r="E66" s="61"/>
      <c r="F66" s="61"/>
      <c r="G66" s="61"/>
      <c r="H66" s="109"/>
      <c r="I66" s="109"/>
      <c r="J66" s="121"/>
    </row>
    <row r="67" spans="1:10" ht="19.5" customHeight="1" x14ac:dyDescent="0.25">
      <c r="A67" s="1" t="s">
        <v>141</v>
      </c>
      <c r="B67" s="1"/>
      <c r="C67" s="101"/>
      <c r="D67" s="1"/>
      <c r="E67" s="1"/>
      <c r="F67" s="183"/>
      <c r="G67" s="1"/>
      <c r="H67" s="1"/>
      <c r="I67" s="1"/>
      <c r="J67" s="1"/>
    </row>
    <row r="68" spans="1:10" ht="0" hidden="1" customHeight="1" x14ac:dyDescent="0.25"/>
    <row r="69" spans="1:10" ht="0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0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0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0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0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0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0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0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0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0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0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0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0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0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0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0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0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0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0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0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0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0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" customHeight="1" x14ac:dyDescent="0.25">
      <c r="B91" s="1"/>
      <c r="C91" s="288"/>
      <c r="D91" s="122"/>
      <c r="E91" s="122"/>
      <c r="F91" s="122"/>
      <c r="G91" s="122"/>
      <c r="H91" s="1"/>
      <c r="I91" s="1"/>
      <c r="J91" s="1"/>
    </row>
    <row r="92" spans="1:10" ht="17.100000000000001" customHeight="1" x14ac:dyDescent="0.25">
      <c r="B92" s="1" t="s">
        <v>141</v>
      </c>
      <c r="C92" s="288"/>
      <c r="D92" s="122"/>
      <c r="E92" s="122"/>
      <c r="F92" s="122"/>
      <c r="G92" s="122"/>
      <c r="H92" s="1"/>
      <c r="I92" s="1"/>
      <c r="J92" s="1"/>
    </row>
    <row r="96" spans="1:10" ht="58.5" customHeight="1" x14ac:dyDescent="0.25"/>
    <row r="98" spans="1:10" ht="57" customHeight="1" x14ac:dyDescent="0.25"/>
    <row r="103" spans="1:10" ht="17.100000000000001" customHeight="1" x14ac:dyDescent="0.25">
      <c r="B103" s="2"/>
      <c r="C103" s="219" t="s">
        <v>55</v>
      </c>
      <c r="D103" s="2"/>
      <c r="E103" s="2"/>
      <c r="F103" s="2"/>
      <c r="G103" s="2"/>
      <c r="H103" s="2"/>
      <c r="I103" s="2"/>
      <c r="J103" s="2"/>
    </row>
    <row r="104" spans="1:10" ht="3" customHeight="1" x14ac:dyDescent="0.25">
      <c r="B104" s="2"/>
      <c r="C104" s="219"/>
      <c r="D104" s="2"/>
      <c r="E104" s="2"/>
      <c r="F104" s="2"/>
      <c r="G104" s="2"/>
      <c r="H104" s="2"/>
      <c r="I104" s="2"/>
      <c r="J104" s="2"/>
    </row>
    <row r="105" spans="1:10" ht="14.1" customHeight="1" x14ac:dyDescent="0.25">
      <c r="B105" s="142"/>
      <c r="C105" s="159"/>
      <c r="D105" s="159"/>
      <c r="E105" s="159"/>
      <c r="F105" s="159"/>
      <c r="G105" s="159"/>
      <c r="H105" s="159"/>
      <c r="I105" s="159"/>
      <c r="J105" s="166"/>
    </row>
    <row r="106" spans="1:10" ht="16.5" customHeight="1" x14ac:dyDescent="0.25">
      <c r="B106" s="54"/>
      <c r="C106" s="296" t="s">
        <v>2</v>
      </c>
      <c r="D106" s="297"/>
      <c r="E106" s="296" t="s">
        <v>3</v>
      </c>
      <c r="F106" s="298"/>
      <c r="G106" s="296" t="s">
        <v>4</v>
      </c>
      <c r="H106" s="297"/>
      <c r="I106" s="183"/>
      <c r="J106" s="244"/>
    </row>
    <row r="107" spans="1:10" ht="15" customHeight="1" x14ac:dyDescent="0.25">
      <c r="B107" s="254"/>
      <c r="C107" s="118" t="s">
        <v>7</v>
      </c>
      <c r="D107" s="120">
        <v>88130</v>
      </c>
      <c r="E107" s="259" t="s">
        <v>5</v>
      </c>
      <c r="F107" s="117">
        <v>33472</v>
      </c>
      <c r="G107" s="195" t="s">
        <v>6</v>
      </c>
      <c r="H107" s="117">
        <v>9830</v>
      </c>
      <c r="I107" s="183"/>
      <c r="J107" s="244"/>
    </row>
    <row r="108" spans="1:10" ht="15" customHeight="1" x14ac:dyDescent="0.25">
      <c r="B108" s="254"/>
      <c r="C108" s="118" t="s">
        <v>10</v>
      </c>
      <c r="D108" s="120">
        <v>79130</v>
      </c>
      <c r="E108" s="248" t="s">
        <v>8</v>
      </c>
      <c r="F108" s="120">
        <v>54612</v>
      </c>
      <c r="G108" s="195" t="s">
        <v>9</v>
      </c>
      <c r="H108" s="120">
        <v>40413</v>
      </c>
      <c r="I108" s="183"/>
      <c r="J108" s="244"/>
    </row>
    <row r="109" spans="1:10" ht="14.1" customHeight="1" x14ac:dyDescent="0.25">
      <c r="B109" s="254"/>
      <c r="C109" s="118" t="s">
        <v>56</v>
      </c>
      <c r="D109" s="120">
        <v>11272</v>
      </c>
      <c r="E109" s="118" t="s">
        <v>11</v>
      </c>
      <c r="F109" s="120">
        <v>2617</v>
      </c>
      <c r="G109" s="195" t="s">
        <v>12</v>
      </c>
      <c r="H109" s="120">
        <v>4369</v>
      </c>
      <c r="I109" s="183"/>
      <c r="J109" s="244"/>
    </row>
    <row r="110" spans="1:10" ht="12" customHeight="1" x14ac:dyDescent="0.25">
      <c r="B110" s="254"/>
      <c r="C110" s="182" t="s">
        <v>57</v>
      </c>
      <c r="D110" s="194">
        <f>SUM(D107:D109)</f>
        <v>178532</v>
      </c>
      <c r="E110" s="182" t="s">
        <v>16</v>
      </c>
      <c r="F110" s="194">
        <f>SUM(F107:F109)</f>
        <v>90701</v>
      </c>
      <c r="G110" s="182" t="s">
        <v>8</v>
      </c>
      <c r="H110" s="194">
        <f>SUM(H107:H109)</f>
        <v>54612</v>
      </c>
      <c r="I110" s="183"/>
      <c r="J110" s="244"/>
    </row>
    <row r="111" spans="1:10" ht="14.25" customHeight="1" x14ac:dyDescent="0.25">
      <c r="A111" s="1"/>
      <c r="B111" s="254"/>
      <c r="C111" s="101" t="s">
        <v>58</v>
      </c>
      <c r="D111" s="220"/>
      <c r="E111" s="220"/>
      <c r="F111" s="220"/>
      <c r="G111" s="220"/>
      <c r="H111" s="220"/>
      <c r="I111" s="236"/>
      <c r="J111" s="123"/>
    </row>
    <row r="112" spans="1:10" ht="6" customHeight="1" x14ac:dyDescent="0.25">
      <c r="A112" s="1"/>
      <c r="B112" s="254"/>
      <c r="C112" s="99"/>
      <c r="D112" s="99"/>
      <c r="E112" s="99"/>
      <c r="F112" s="99"/>
      <c r="G112" s="99"/>
      <c r="H112" s="99"/>
      <c r="I112" s="236"/>
      <c r="J112" s="123"/>
    </row>
    <row r="113" spans="1:10" ht="14.1" customHeight="1" x14ac:dyDescent="0.25">
      <c r="A113" s="1"/>
      <c r="B113" s="135"/>
      <c r="C113" s="272"/>
      <c r="D113" s="114"/>
      <c r="E113" s="272"/>
      <c r="F113" s="272"/>
      <c r="G113" s="272"/>
      <c r="H113" s="272"/>
      <c r="I113" s="261"/>
      <c r="J113" s="188"/>
    </row>
    <row r="114" spans="1:10" ht="20.25" customHeight="1" x14ac:dyDescent="0.25">
      <c r="A114" s="1"/>
      <c r="B114" s="254"/>
      <c r="C114" s="18" t="str">
        <f>C20</f>
        <v>KVOTE- OG FANGSTOVERSIKT</v>
      </c>
      <c r="D114" s="99"/>
      <c r="E114" s="99"/>
      <c r="F114" s="99"/>
      <c r="G114" s="99"/>
      <c r="H114" s="99"/>
      <c r="I114" s="1"/>
      <c r="J114" s="123"/>
    </row>
    <row r="115" spans="1:10" ht="11.25" customHeight="1" x14ac:dyDescent="0.3">
      <c r="A115" s="1"/>
      <c r="B115" s="254"/>
      <c r="C115" s="290"/>
      <c r="D115" s="290"/>
      <c r="E115" s="290"/>
      <c r="F115" s="290"/>
      <c r="G115" s="290"/>
      <c r="H115" s="290"/>
      <c r="I115" s="290"/>
      <c r="J115" s="19"/>
    </row>
    <row r="116" spans="1:10" ht="54" customHeight="1" x14ac:dyDescent="0.25">
      <c r="A116" s="1"/>
      <c r="B116" s="254"/>
      <c r="C116" s="15" t="s">
        <v>19</v>
      </c>
      <c r="D116" s="113" t="s">
        <v>20</v>
      </c>
      <c r="E116" s="15" t="s">
        <v>59</v>
      </c>
      <c r="F116" s="15" t="s">
        <v>142</v>
      </c>
      <c r="G116" s="15" t="s">
        <v>143</v>
      </c>
      <c r="H116" s="15" t="s">
        <v>144</v>
      </c>
      <c r="I116" s="15" t="s">
        <v>145</v>
      </c>
      <c r="J116" s="123"/>
    </row>
    <row r="117" spans="1:10" ht="14.1" customHeight="1" x14ac:dyDescent="0.25">
      <c r="A117" s="1"/>
      <c r="B117" s="254"/>
      <c r="C117" s="32" t="s">
        <v>22</v>
      </c>
      <c r="D117" s="28">
        <f t="shared" ref="D117:I117" si="5">D119+D118</f>
        <v>33472</v>
      </c>
      <c r="E117" s="28">
        <f t="shared" si="5"/>
        <v>32686</v>
      </c>
      <c r="F117" s="11">
        <f t="shared" si="5"/>
        <v>64.759240000000005</v>
      </c>
      <c r="G117" s="11">
        <f t="shared" si="5"/>
        <v>36654.471409999998</v>
      </c>
      <c r="H117" s="11">
        <f t="shared" si="5"/>
        <v>-3968.4714100000019</v>
      </c>
      <c r="I117" s="11">
        <f t="shared" si="5"/>
        <v>44186.371659999997</v>
      </c>
      <c r="J117" s="244"/>
    </row>
    <row r="118" spans="1:10" ht="15" customHeight="1" x14ac:dyDescent="0.25">
      <c r="A118" s="1"/>
      <c r="B118" s="254"/>
      <c r="C118" s="47" t="s">
        <v>23</v>
      </c>
      <c r="D118" s="48">
        <v>32722</v>
      </c>
      <c r="E118" s="23">
        <v>31903</v>
      </c>
      <c r="F118" s="23">
        <f>54.9059</f>
        <v>54.905900000000003</v>
      </c>
      <c r="G118" s="23">
        <f>35921.6762</f>
        <v>35921.676200000002</v>
      </c>
      <c r="H118" s="23">
        <f>E118-G118</f>
        <v>-4018.6762000000017</v>
      </c>
      <c r="I118" s="23">
        <f>43417.83672</f>
        <v>43417.836719999999</v>
      </c>
      <c r="J118" s="244"/>
    </row>
    <row r="119" spans="1:10" ht="14.1" customHeight="1" x14ac:dyDescent="0.25">
      <c r="A119" s="1"/>
      <c r="B119" s="254"/>
      <c r="C119" s="66" t="s">
        <v>24</v>
      </c>
      <c r="D119" s="51">
        <v>750</v>
      </c>
      <c r="E119" s="52">
        <v>783</v>
      </c>
      <c r="F119" s="52">
        <f>9.85334</f>
        <v>9.8533399999999993</v>
      </c>
      <c r="G119" s="52">
        <f>732.79521</f>
        <v>732.79521</v>
      </c>
      <c r="H119" s="52">
        <f>E119-G119</f>
        <v>50.204790000000003</v>
      </c>
      <c r="I119" s="52">
        <f>768.53494</f>
        <v>768.53494000000001</v>
      </c>
      <c r="J119" s="244"/>
    </row>
    <row r="120" spans="1:10" ht="15.75" customHeight="1" x14ac:dyDescent="0.25">
      <c r="A120" s="1"/>
      <c r="B120" s="54"/>
      <c r="C120" s="16" t="s">
        <v>25</v>
      </c>
      <c r="D120" s="28">
        <f t="shared" ref="D120:I120" si="6">D121+D126+D127</f>
        <v>56489</v>
      </c>
      <c r="E120" s="28">
        <f t="shared" si="6"/>
        <v>68210</v>
      </c>
      <c r="F120" s="11">
        <f t="shared" si="6"/>
        <v>702.87851999999998</v>
      </c>
      <c r="G120" s="11">
        <f t="shared" si="6"/>
        <v>36584.434029999997</v>
      </c>
      <c r="H120" s="11">
        <f t="shared" si="6"/>
        <v>31625.565970000003</v>
      </c>
      <c r="I120" s="11">
        <f t="shared" si="6"/>
        <v>39184.18578</v>
      </c>
      <c r="J120" s="244"/>
    </row>
    <row r="121" spans="1:10" ht="14.1" customHeight="1" x14ac:dyDescent="0.25">
      <c r="A121" s="1"/>
      <c r="B121" s="55"/>
      <c r="C121" s="59" t="s">
        <v>26</v>
      </c>
      <c r="D121" s="60">
        <f t="shared" ref="D121:I121" si="7">D122+D123+D124+D125</f>
        <v>42290</v>
      </c>
      <c r="E121" s="60">
        <f t="shared" si="7"/>
        <v>51009</v>
      </c>
      <c r="F121" s="136">
        <f t="shared" si="7"/>
        <v>546.21123999999998</v>
      </c>
      <c r="G121" s="136">
        <f t="shared" si="7"/>
        <v>27967.170149999998</v>
      </c>
      <c r="H121" s="136">
        <f t="shared" si="7"/>
        <v>23041.829850000002</v>
      </c>
      <c r="I121" s="136">
        <f t="shared" si="7"/>
        <v>31520.35917</v>
      </c>
      <c r="J121" s="244"/>
    </row>
    <row r="122" spans="1:10" ht="14.1" customHeight="1" x14ac:dyDescent="0.25">
      <c r="A122" s="202"/>
      <c r="B122" s="186"/>
      <c r="C122" s="64" t="s">
        <v>27</v>
      </c>
      <c r="D122" s="65">
        <v>11327</v>
      </c>
      <c r="E122" s="130">
        <v>13658</v>
      </c>
      <c r="F122" s="130">
        <f>97.11991</f>
        <v>97.119910000000004</v>
      </c>
      <c r="G122" s="130">
        <f>3364.85573</f>
        <v>3364.8557300000002</v>
      </c>
      <c r="H122" s="130">
        <f t="shared" ref="H122:H129" si="8">E122-G122</f>
        <v>10293.144270000001</v>
      </c>
      <c r="I122" s="130">
        <f>4062.653</f>
        <v>4062.6529999999998</v>
      </c>
      <c r="J122" s="244"/>
    </row>
    <row r="123" spans="1:10" ht="14.1" customHeight="1" x14ac:dyDescent="0.25">
      <c r="A123" s="202"/>
      <c r="B123" s="186"/>
      <c r="C123" s="64" t="s">
        <v>60</v>
      </c>
      <c r="D123" s="65">
        <v>12171</v>
      </c>
      <c r="E123" s="130">
        <v>14540</v>
      </c>
      <c r="F123" s="130">
        <f>117.5004</f>
        <v>117.5004</v>
      </c>
      <c r="G123" s="130">
        <f>9661.94831</f>
        <v>9661.9483099999998</v>
      </c>
      <c r="H123" s="130">
        <f t="shared" si="8"/>
        <v>4878.0516900000002</v>
      </c>
      <c r="I123" s="130">
        <f>10246.5313</f>
        <v>10246.531300000001</v>
      </c>
      <c r="J123" s="244"/>
    </row>
    <row r="124" spans="1:10" ht="14.1" customHeight="1" x14ac:dyDescent="0.25">
      <c r="A124" s="202"/>
      <c r="B124" s="186"/>
      <c r="C124" s="64" t="s">
        <v>61</v>
      </c>
      <c r="D124" s="65">
        <v>11356</v>
      </c>
      <c r="E124" s="130">
        <v>13798</v>
      </c>
      <c r="F124" s="130">
        <f>263.65171</f>
        <v>263.65170999999998</v>
      </c>
      <c r="G124" s="130">
        <f>7674.41547</f>
        <v>7674.4154699999999</v>
      </c>
      <c r="H124" s="130">
        <f t="shared" si="8"/>
        <v>6123.5845300000001</v>
      </c>
      <c r="I124" s="130">
        <f>11034.47839</f>
        <v>11034.47839</v>
      </c>
      <c r="J124" s="244"/>
    </row>
    <row r="125" spans="1:10" ht="14.1" customHeight="1" x14ac:dyDescent="0.25">
      <c r="A125" s="202"/>
      <c r="B125" s="186"/>
      <c r="C125" s="64" t="s">
        <v>30</v>
      </c>
      <c r="D125" s="65">
        <v>7436</v>
      </c>
      <c r="E125" s="130">
        <v>9013</v>
      </c>
      <c r="F125" s="130">
        <f>67.93922</f>
        <v>67.939220000000006</v>
      </c>
      <c r="G125" s="130">
        <f>7265.95064</f>
        <v>7265.95064</v>
      </c>
      <c r="H125" s="130">
        <f t="shared" si="8"/>
        <v>1747.04936</v>
      </c>
      <c r="I125" s="130">
        <f>6176.69648</f>
        <v>6176.6964799999996</v>
      </c>
      <c r="J125" s="244"/>
    </row>
    <row r="126" spans="1:10" ht="14.1" customHeight="1" x14ac:dyDescent="0.25">
      <c r="A126" s="202"/>
      <c r="B126" s="186"/>
      <c r="C126" s="59" t="s">
        <v>62</v>
      </c>
      <c r="D126" s="60">
        <v>9830</v>
      </c>
      <c r="E126" s="136">
        <v>11908</v>
      </c>
      <c r="F126" s="136">
        <f>63.43621</f>
        <v>63.436210000000003</v>
      </c>
      <c r="G126" s="136">
        <f>6690.51741</f>
        <v>6690.5174100000004</v>
      </c>
      <c r="H126" s="136">
        <f t="shared" si="8"/>
        <v>5217.4825899999996</v>
      </c>
      <c r="I126" s="136">
        <f>6070.44938</f>
        <v>6070.44938</v>
      </c>
      <c r="J126" s="244"/>
    </row>
    <row r="127" spans="1:10" ht="15.75" customHeight="1" x14ac:dyDescent="0.25">
      <c r="A127" s="1"/>
      <c r="B127" s="55"/>
      <c r="C127" s="38" t="s">
        <v>12</v>
      </c>
      <c r="D127" s="63">
        <v>4369</v>
      </c>
      <c r="E127" s="78">
        <v>5293</v>
      </c>
      <c r="F127" s="78">
        <f>93.23107</f>
        <v>93.231070000000003</v>
      </c>
      <c r="G127" s="78">
        <f>1926.74647</f>
        <v>1926.74647</v>
      </c>
      <c r="H127" s="78">
        <f t="shared" si="8"/>
        <v>3366.25353</v>
      </c>
      <c r="I127" s="78">
        <f>1593.37723</f>
        <v>1593.3772300000001</v>
      </c>
      <c r="J127" s="244"/>
    </row>
    <row r="128" spans="1:10" ht="15.75" customHeight="1" x14ac:dyDescent="0.25">
      <c r="A128" s="1"/>
      <c r="B128" s="55"/>
      <c r="C128" s="76" t="s">
        <v>37</v>
      </c>
      <c r="D128" s="93">
        <v>390</v>
      </c>
      <c r="E128" s="102">
        <v>390</v>
      </c>
      <c r="F128" s="102">
        <f>0.011</f>
        <v>1.0999999999999999E-2</v>
      </c>
      <c r="G128" s="102">
        <f>22.07778</f>
        <v>22.077780000000001</v>
      </c>
      <c r="H128" s="102">
        <f t="shared" si="8"/>
        <v>367.92221999999998</v>
      </c>
      <c r="I128" s="102">
        <f>35.20317</f>
        <v>35.20317</v>
      </c>
      <c r="J128" s="244"/>
    </row>
    <row r="129" spans="1:10" ht="18" customHeight="1" x14ac:dyDescent="0.25">
      <c r="A129" s="1"/>
      <c r="B129" s="254"/>
      <c r="C129" s="76" t="s">
        <v>63</v>
      </c>
      <c r="D129" s="148">
        <v>300</v>
      </c>
      <c r="E129" s="143">
        <v>300</v>
      </c>
      <c r="F129" s="143">
        <f>0.06524</f>
        <v>6.5240000000000006E-2</v>
      </c>
      <c r="G129" s="143">
        <v>300</v>
      </c>
      <c r="H129" s="143">
        <f t="shared" si="8"/>
        <v>0</v>
      </c>
      <c r="I129" s="143">
        <v>300</v>
      </c>
      <c r="J129" s="244"/>
    </row>
    <row r="130" spans="1:10" ht="15.75" customHeight="1" x14ac:dyDescent="0.25">
      <c r="A130" s="1"/>
      <c r="B130" s="254"/>
      <c r="C130" s="96" t="s">
        <v>40</v>
      </c>
      <c r="D130" s="148"/>
      <c r="E130" s="143"/>
      <c r="F130" s="143">
        <v>0</v>
      </c>
      <c r="G130" s="143">
        <v>0</v>
      </c>
      <c r="H130" s="143"/>
      <c r="I130" s="143">
        <v>100.9092</v>
      </c>
      <c r="J130" s="244"/>
    </row>
    <row r="131" spans="1:10" ht="16.5" customHeight="1" x14ac:dyDescent="0.25">
      <c r="A131" s="1"/>
      <c r="B131" s="254"/>
      <c r="C131" s="96" t="s">
        <v>41</v>
      </c>
      <c r="D131" s="148">
        <v>50</v>
      </c>
      <c r="E131" s="143">
        <v>50</v>
      </c>
      <c r="F131" s="143"/>
      <c r="G131" s="143"/>
      <c r="H131" s="143">
        <f>E131-G131</f>
        <v>50</v>
      </c>
      <c r="I131" s="143"/>
      <c r="J131" s="244"/>
    </row>
    <row r="132" spans="1:10" ht="18" customHeight="1" x14ac:dyDescent="0.25">
      <c r="A132" s="1"/>
      <c r="B132" s="254"/>
      <c r="C132" s="96" t="s">
        <v>64</v>
      </c>
      <c r="D132" s="148"/>
      <c r="E132" s="143"/>
      <c r="F132" s="143">
        <v>0</v>
      </c>
      <c r="G132" s="143">
        <v>8.7677999999868916</v>
      </c>
      <c r="H132" s="143">
        <f>E132-G132</f>
        <v>-8.7677999999868916</v>
      </c>
      <c r="I132" s="143">
        <v>43.734779999998864</v>
      </c>
      <c r="J132" s="244"/>
    </row>
    <row r="133" spans="1:10" ht="16.5" customHeight="1" x14ac:dyDescent="0.25">
      <c r="A133" s="1"/>
      <c r="B133" s="254"/>
      <c r="C133" s="77" t="s">
        <v>44</v>
      </c>
      <c r="D133" s="80">
        <f>D117+D120+D128+D129+D130+D131+D132</f>
        <v>90701</v>
      </c>
      <c r="E133" s="80">
        <f>E117+E120+E128+E129+E130+E131+E132</f>
        <v>101636</v>
      </c>
      <c r="F133" s="80">
        <f t="shared" ref="F133:G133" si="9">F117+F120+F128+F129+F130+F131+F132</f>
        <v>767.71399999999994</v>
      </c>
      <c r="G133" s="80">
        <f t="shared" si="9"/>
        <v>73569.751019999996</v>
      </c>
      <c r="H133" s="80">
        <f>H117+H120+H128+H129+H130+H131+H132</f>
        <v>28066.248980000015</v>
      </c>
      <c r="I133" s="80">
        <f>I117+I120+I128+I129+I130+I131+I132</f>
        <v>83850.404589999991</v>
      </c>
      <c r="J133" s="244"/>
    </row>
    <row r="134" spans="1:10" ht="13.5" customHeight="1" x14ac:dyDescent="0.25">
      <c r="A134" s="1"/>
      <c r="B134" s="254"/>
      <c r="C134" s="81" t="s">
        <v>65</v>
      </c>
      <c r="D134" s="104"/>
      <c r="E134" s="104"/>
      <c r="F134" s="105"/>
      <c r="G134" s="105"/>
      <c r="H134" s="107"/>
      <c r="I134" s="228"/>
      <c r="J134" s="244"/>
    </row>
    <row r="135" spans="1:10" ht="13.5" customHeight="1" x14ac:dyDescent="0.25">
      <c r="A135" s="1"/>
      <c r="B135" s="24"/>
      <c r="C135" s="165" t="s">
        <v>147</v>
      </c>
      <c r="D135" s="258"/>
      <c r="E135" s="258"/>
      <c r="F135" s="83"/>
      <c r="G135" s="83"/>
      <c r="H135" s="228"/>
      <c r="I135" s="228"/>
      <c r="J135" s="108"/>
    </row>
    <row r="136" spans="1:10" ht="15" customHeight="1" x14ac:dyDescent="0.25">
      <c r="A136" s="1"/>
      <c r="B136" s="24"/>
      <c r="C136" s="165" t="s">
        <v>66</v>
      </c>
      <c r="D136" s="258"/>
      <c r="E136" s="258"/>
      <c r="F136" s="83"/>
      <c r="G136" s="83"/>
      <c r="H136" s="228"/>
      <c r="I136" s="228"/>
      <c r="J136" s="108"/>
    </row>
    <row r="137" spans="1:10" ht="15" customHeight="1" x14ac:dyDescent="0.25">
      <c r="A137" s="1"/>
      <c r="B137" s="24"/>
      <c r="C137" s="228" t="s">
        <v>67</v>
      </c>
      <c r="D137" s="258"/>
      <c r="E137" s="258"/>
      <c r="F137" s="83"/>
      <c r="G137" s="83"/>
      <c r="H137" s="228"/>
      <c r="I137" s="228"/>
      <c r="J137" s="108"/>
    </row>
    <row r="138" spans="1:10" ht="12" customHeight="1" x14ac:dyDescent="0.25">
      <c r="A138" s="1"/>
      <c r="B138" s="95"/>
      <c r="C138" s="110"/>
      <c r="D138" s="115"/>
      <c r="E138" s="115"/>
      <c r="F138" s="115"/>
      <c r="G138" s="115"/>
      <c r="H138" s="115"/>
      <c r="I138" s="201"/>
      <c r="J138" s="116"/>
    </row>
    <row r="139" spans="1:10" ht="12" customHeight="1" x14ac:dyDescent="0.25">
      <c r="A139" s="1"/>
      <c r="B139" s="101"/>
      <c r="C139" s="1" t="s">
        <v>141</v>
      </c>
      <c r="D139" s="228"/>
      <c r="E139" s="228"/>
      <c r="F139" s="228"/>
      <c r="G139" s="228"/>
      <c r="H139" s="228"/>
      <c r="I139" s="101"/>
      <c r="J139" s="101" t="s">
        <v>141</v>
      </c>
    </row>
    <row r="140" spans="1:10" ht="14.25" customHeight="1" x14ac:dyDescent="0.25">
      <c r="A140" s="1"/>
      <c r="B140" s="101"/>
      <c r="C140" s="101" t="s">
        <v>141</v>
      </c>
      <c r="D140" s="101" t="s">
        <v>141</v>
      </c>
      <c r="E140" s="101"/>
      <c r="F140" s="101"/>
      <c r="G140" s="101"/>
      <c r="H140" s="101"/>
      <c r="I140" s="101"/>
      <c r="J140" s="101" t="s">
        <v>141</v>
      </c>
    </row>
    <row r="141" spans="1:10" ht="17.100000000000001" customHeight="1" x14ac:dyDescent="0.25">
      <c r="A141" s="218"/>
      <c r="B141" s="218"/>
      <c r="C141" s="219" t="s">
        <v>68</v>
      </c>
      <c r="D141" s="218"/>
      <c r="E141" s="218"/>
      <c r="F141" s="218"/>
      <c r="G141" s="218"/>
      <c r="H141" s="218"/>
      <c r="I141" s="218"/>
      <c r="J141" s="218"/>
    </row>
    <row r="142" spans="1:10" ht="3" customHeight="1" x14ac:dyDescent="0.25">
      <c r="A142" s="218"/>
      <c r="B142" s="218"/>
      <c r="C142" s="219"/>
      <c r="D142" s="218"/>
      <c r="E142" s="218"/>
      <c r="F142" s="218"/>
      <c r="G142" s="218"/>
      <c r="H142" s="218"/>
      <c r="I142" s="218"/>
      <c r="J142" s="218"/>
    </row>
    <row r="143" spans="1:10" ht="14.1" customHeight="1" x14ac:dyDescent="0.25">
      <c r="A143" s="1"/>
      <c r="B143" s="142"/>
      <c r="C143" s="159"/>
      <c r="D143" s="159"/>
      <c r="E143" s="159"/>
      <c r="F143" s="159"/>
      <c r="G143" s="159"/>
      <c r="H143" s="159"/>
      <c r="I143" s="159"/>
      <c r="J143" s="166"/>
    </row>
    <row r="144" spans="1:10" ht="15" customHeight="1" x14ac:dyDescent="0.25">
      <c r="A144" s="1"/>
      <c r="B144" s="54"/>
      <c r="C144" s="153" t="s">
        <v>2</v>
      </c>
      <c r="D144" s="189"/>
      <c r="E144" s="153" t="s">
        <v>3</v>
      </c>
      <c r="F144" s="189"/>
      <c r="G144" s="153" t="s">
        <v>4</v>
      </c>
      <c r="H144" s="189"/>
      <c r="I144" s="183"/>
      <c r="J144" s="244"/>
    </row>
    <row r="145" spans="1:10" ht="14.1" customHeight="1" x14ac:dyDescent="0.25">
      <c r="A145" s="1"/>
      <c r="B145" s="254"/>
      <c r="C145" s="118" t="s">
        <v>7</v>
      </c>
      <c r="D145" s="120">
        <v>182657</v>
      </c>
      <c r="E145" s="103" t="s">
        <v>5</v>
      </c>
      <c r="F145" s="117">
        <v>66192</v>
      </c>
      <c r="G145" s="118" t="s">
        <v>6</v>
      </c>
      <c r="H145" s="117">
        <v>7478</v>
      </c>
      <c r="I145" s="183"/>
      <c r="J145" s="244"/>
    </row>
    <row r="146" spans="1:10" ht="14.1" customHeight="1" x14ac:dyDescent="0.25">
      <c r="A146" s="1"/>
      <c r="B146" s="254"/>
      <c r="C146" s="118" t="s">
        <v>10</v>
      </c>
      <c r="D146" s="120">
        <v>12705</v>
      </c>
      <c r="E146" s="118" t="s">
        <v>8</v>
      </c>
      <c r="F146" s="120">
        <v>67980</v>
      </c>
      <c r="G146" s="118" t="s">
        <v>9</v>
      </c>
      <c r="H146" s="120">
        <v>50985</v>
      </c>
      <c r="I146" s="183"/>
      <c r="J146" s="244"/>
    </row>
    <row r="147" spans="1:10" ht="14.1" customHeight="1" x14ac:dyDescent="0.25">
      <c r="A147" s="1"/>
      <c r="B147" s="254"/>
      <c r="C147" s="248" t="s">
        <v>69</v>
      </c>
      <c r="D147" s="120">
        <v>1850</v>
      </c>
      <c r="E147" s="118" t="s">
        <v>70</v>
      </c>
      <c r="F147" s="120">
        <v>44724</v>
      </c>
      <c r="G147" s="118" t="s">
        <v>12</v>
      </c>
      <c r="H147" s="120">
        <v>9517</v>
      </c>
      <c r="I147" s="183"/>
      <c r="J147" s="244"/>
    </row>
    <row r="148" spans="1:10" ht="14.1" customHeight="1" x14ac:dyDescent="0.25">
      <c r="A148" s="1"/>
      <c r="B148" s="158"/>
      <c r="C148" s="170"/>
      <c r="D148" s="195"/>
      <c r="E148" s="195" t="s">
        <v>71</v>
      </c>
      <c r="F148" s="120">
        <v>3761</v>
      </c>
      <c r="G148" s="118"/>
      <c r="H148" s="170"/>
      <c r="I148" s="183"/>
      <c r="J148" s="244"/>
    </row>
    <row r="149" spans="1:10" ht="12" customHeight="1" x14ac:dyDescent="0.25">
      <c r="A149" s="1"/>
      <c r="B149" s="254"/>
      <c r="C149" s="182" t="s">
        <v>57</v>
      </c>
      <c r="D149" s="194">
        <v>197212</v>
      </c>
      <c r="E149" s="112" t="s">
        <v>16</v>
      </c>
      <c r="F149" s="194">
        <v>182657</v>
      </c>
      <c r="G149" s="182" t="s">
        <v>8</v>
      </c>
      <c r="H149" s="35">
        <v>67980</v>
      </c>
      <c r="I149" s="183"/>
      <c r="J149" s="244"/>
    </row>
    <row r="150" spans="1:10" ht="12" customHeight="1" x14ac:dyDescent="0.25">
      <c r="A150" s="101"/>
      <c r="B150" s="24"/>
      <c r="C150" s="101" t="s">
        <v>72</v>
      </c>
      <c r="D150" s="101"/>
      <c r="E150" s="101"/>
      <c r="F150" s="101"/>
      <c r="G150" s="101"/>
      <c r="H150" s="101"/>
      <c r="I150" s="101"/>
      <c r="J150" s="157"/>
    </row>
    <row r="151" spans="1:10" ht="17.100000000000001" customHeight="1" x14ac:dyDescent="0.25">
      <c r="A151" s="1"/>
      <c r="B151" s="241"/>
      <c r="C151" s="272"/>
      <c r="D151" s="272"/>
      <c r="E151" s="233"/>
      <c r="F151" s="233"/>
      <c r="G151" s="233"/>
      <c r="H151" s="233"/>
      <c r="I151" s="233"/>
      <c r="J151" s="245"/>
    </row>
    <row r="152" spans="1:10" ht="25.5" customHeight="1" x14ac:dyDescent="0.25">
      <c r="A152" s="1"/>
      <c r="B152" s="254"/>
      <c r="C152" s="18" t="str">
        <f>C20</f>
        <v>KVOTE- OG FANGSTOVERSIKT</v>
      </c>
      <c r="D152" s="1"/>
      <c r="E152" s="1"/>
      <c r="F152" s="1"/>
      <c r="G152" s="1"/>
      <c r="H152" s="1"/>
      <c r="I152" s="1"/>
      <c r="J152" s="123"/>
    </row>
    <row r="153" spans="1:10" ht="53.25" customHeight="1" x14ac:dyDescent="0.25">
      <c r="A153" s="161"/>
      <c r="B153" s="54"/>
      <c r="C153" s="264" t="s">
        <v>19</v>
      </c>
      <c r="D153" s="15" t="s">
        <v>20</v>
      </c>
      <c r="E153" s="15" t="s">
        <v>73</v>
      </c>
      <c r="F153" s="15" t="s">
        <v>142</v>
      </c>
      <c r="G153" s="15" t="s">
        <v>143</v>
      </c>
      <c r="H153" s="15" t="s">
        <v>144</v>
      </c>
      <c r="I153" s="15" t="s">
        <v>145</v>
      </c>
      <c r="J153" s="280"/>
    </row>
    <row r="154" spans="1:10" ht="14.1" customHeight="1" x14ac:dyDescent="0.25">
      <c r="A154" s="1"/>
      <c r="B154" s="254"/>
      <c r="C154" s="16" t="s">
        <v>74</v>
      </c>
      <c r="D154" s="28">
        <f t="shared" ref="D154:I154" si="10">D155+D156+D157</f>
        <v>66192</v>
      </c>
      <c r="E154" s="28">
        <f t="shared" si="10"/>
        <v>62183</v>
      </c>
      <c r="F154" s="11">
        <f t="shared" si="10"/>
        <v>1595.45481</v>
      </c>
      <c r="G154" s="11">
        <f t="shared" si="10"/>
        <v>53518.778939999997</v>
      </c>
      <c r="H154" s="11">
        <f t="shared" si="10"/>
        <v>8664.2210600000017</v>
      </c>
      <c r="I154" s="11">
        <f t="shared" si="10"/>
        <v>51728.578260000002</v>
      </c>
      <c r="J154" s="244"/>
    </row>
    <row r="155" spans="1:10" ht="14.1" customHeight="1" x14ac:dyDescent="0.25">
      <c r="A155" s="1"/>
      <c r="B155" s="254"/>
      <c r="C155" s="47" t="s">
        <v>23</v>
      </c>
      <c r="D155" s="48">
        <v>52954</v>
      </c>
      <c r="E155" s="48">
        <v>49665</v>
      </c>
      <c r="F155" s="23">
        <f>1369.12547</f>
        <v>1369.12547</v>
      </c>
      <c r="G155" s="23">
        <f>45517.61513</f>
        <v>45517.615129999998</v>
      </c>
      <c r="H155" s="23">
        <f>E155-G155</f>
        <v>4147.3848700000017</v>
      </c>
      <c r="I155" s="23">
        <f>45608.83049</f>
        <v>45608.83049</v>
      </c>
      <c r="J155" s="244"/>
    </row>
    <row r="156" spans="1:10" ht="15" customHeight="1" x14ac:dyDescent="0.25">
      <c r="A156" s="1"/>
      <c r="B156" s="254"/>
      <c r="C156" s="47" t="s">
        <v>24</v>
      </c>
      <c r="D156" s="48">
        <v>12738</v>
      </c>
      <c r="E156" s="48">
        <v>12018</v>
      </c>
      <c r="F156" s="23">
        <f>226.32934</f>
        <v>226.32934</v>
      </c>
      <c r="G156" s="23">
        <f>8001.16381</f>
        <v>8001.16381</v>
      </c>
      <c r="H156" s="23">
        <f>E156-G156</f>
        <v>4016.83619</v>
      </c>
      <c r="I156" s="23">
        <f>6119.74777</f>
        <v>6119.7477699999999</v>
      </c>
      <c r="J156" s="244"/>
    </row>
    <row r="157" spans="1:10" ht="13.5" customHeight="1" x14ac:dyDescent="0.25">
      <c r="A157" s="1"/>
      <c r="B157" s="254"/>
      <c r="C157" s="50" t="s">
        <v>75</v>
      </c>
      <c r="D157" s="33">
        <v>500</v>
      </c>
      <c r="E157" s="33">
        <v>500</v>
      </c>
      <c r="F157" s="58"/>
      <c r="G157" s="58"/>
      <c r="H157" s="58">
        <f>E157-G157</f>
        <v>500</v>
      </c>
      <c r="I157" s="58"/>
      <c r="J157" s="244"/>
    </row>
    <row r="158" spans="1:10" ht="14.25" customHeight="1" x14ac:dyDescent="0.25">
      <c r="A158" s="70"/>
      <c r="B158" s="82"/>
      <c r="C158" s="92" t="s">
        <v>76</v>
      </c>
      <c r="D158" s="94">
        <v>44724</v>
      </c>
      <c r="E158" s="94">
        <v>49007</v>
      </c>
      <c r="F158" s="98">
        <f>37.206</f>
        <v>37.206000000000003</v>
      </c>
      <c r="G158" s="98">
        <v>47836.396179999996</v>
      </c>
      <c r="H158" s="98">
        <f>E158-G158</f>
        <v>1170.6038200000039</v>
      </c>
      <c r="I158" s="98">
        <f>29677.36107</f>
        <v>29677.361069999999</v>
      </c>
      <c r="J158" s="119"/>
    </row>
    <row r="159" spans="1:10" ht="15.75" customHeight="1" x14ac:dyDescent="0.25">
      <c r="A159" s="1"/>
      <c r="B159" s="254"/>
      <c r="C159" s="147" t="s">
        <v>25</v>
      </c>
      <c r="D159" s="148">
        <f>D160+D165+D168</f>
        <v>69292</v>
      </c>
      <c r="E159" s="148">
        <f>E160+E165+E168</f>
        <v>69774</v>
      </c>
      <c r="F159" s="97">
        <f>F160+F165+F168</f>
        <v>1188.2537400000001</v>
      </c>
      <c r="G159" s="97">
        <f t="shared" ref="G159" si="11">G160+G165+G168</f>
        <v>55836.242159999994</v>
      </c>
      <c r="H159" s="97">
        <f>H160+H165+H168</f>
        <v>13937.757840000002</v>
      </c>
      <c r="I159" s="97">
        <f>I160+I165+I168</f>
        <v>58359.008849999998</v>
      </c>
      <c r="J159" s="123"/>
    </row>
    <row r="160" spans="1:10" ht="14.1" customHeight="1" x14ac:dyDescent="0.25">
      <c r="A160" s="1"/>
      <c r="B160" s="54"/>
      <c r="C160" s="125" t="s">
        <v>77</v>
      </c>
      <c r="D160" s="126">
        <f>D161+D162+D163+D164</f>
        <v>52297</v>
      </c>
      <c r="E160" s="126">
        <f>E161+E162+E163+E164</f>
        <v>51985</v>
      </c>
      <c r="F160" s="128">
        <f>F161+F162+F163+F164</f>
        <v>998.51458000000002</v>
      </c>
      <c r="G160" s="128">
        <f>G161+G162+G164+G163</f>
        <v>42472.204149999998</v>
      </c>
      <c r="H160" s="128">
        <f>H161+H162+H163+H164</f>
        <v>9512.7958500000022</v>
      </c>
      <c r="I160" s="128">
        <f>I161+I162+I163+I164</f>
        <v>45617.80586</v>
      </c>
      <c r="J160" s="280"/>
    </row>
    <row r="161" spans="1:10" ht="14.1" customHeight="1" x14ac:dyDescent="0.25">
      <c r="A161" s="202"/>
      <c r="B161" s="129"/>
      <c r="C161" s="64" t="s">
        <v>27</v>
      </c>
      <c r="D161" s="65">
        <v>13881</v>
      </c>
      <c r="E161" s="65">
        <v>15307</v>
      </c>
      <c r="F161" s="130">
        <f>183.45721</f>
        <v>183.45721</v>
      </c>
      <c r="G161" s="130">
        <v>8417.5158599999995</v>
      </c>
      <c r="H161" s="130">
        <f>E161-G161</f>
        <v>6889.4841400000005</v>
      </c>
      <c r="I161" s="130">
        <f>8812.60528</f>
        <v>8812.6052799999998</v>
      </c>
      <c r="J161" s="131"/>
    </row>
    <row r="162" spans="1:10" ht="14.1" customHeight="1" x14ac:dyDescent="0.25">
      <c r="A162" s="202"/>
      <c r="B162" s="186"/>
      <c r="C162" s="64" t="s">
        <v>60</v>
      </c>
      <c r="D162" s="65">
        <v>14224</v>
      </c>
      <c r="E162" s="65">
        <v>12859</v>
      </c>
      <c r="F162" s="130">
        <f>306.93201</f>
        <v>306.93200999999999</v>
      </c>
      <c r="G162" s="130">
        <v>12037.868939999998</v>
      </c>
      <c r="H162" s="130">
        <f>E162-G162</f>
        <v>821.13106000000153</v>
      </c>
      <c r="I162" s="130">
        <f>11022.43979</f>
        <v>11022.43979</v>
      </c>
      <c r="J162" s="132"/>
    </row>
    <row r="163" spans="1:10" ht="14.1" customHeight="1" x14ac:dyDescent="0.25">
      <c r="A163" s="202"/>
      <c r="B163" s="186"/>
      <c r="C163" s="64" t="s">
        <v>61</v>
      </c>
      <c r="D163" s="65">
        <v>12986</v>
      </c>
      <c r="E163" s="65">
        <v>13695</v>
      </c>
      <c r="F163" s="130">
        <f>253.16556</f>
        <v>253.16556</v>
      </c>
      <c r="G163" s="130">
        <v>10806.63798</v>
      </c>
      <c r="H163" s="130">
        <f>E163-G163</f>
        <v>2888.3620200000005</v>
      </c>
      <c r="I163" s="130">
        <f>12152.55019</f>
        <v>12152.55019</v>
      </c>
      <c r="J163" s="132"/>
    </row>
    <row r="164" spans="1:10" ht="14.1" customHeight="1" x14ac:dyDescent="0.25">
      <c r="A164" s="202"/>
      <c r="B164" s="186"/>
      <c r="C164" s="64" t="s">
        <v>30</v>
      </c>
      <c r="D164" s="65">
        <v>11206</v>
      </c>
      <c r="E164" s="65">
        <v>10124</v>
      </c>
      <c r="F164" s="130">
        <f>254.9598</f>
        <v>254.9598</v>
      </c>
      <c r="G164" s="130">
        <v>11210.18137</v>
      </c>
      <c r="H164" s="130">
        <f>E164-G164</f>
        <v>-1086.1813700000002</v>
      </c>
      <c r="I164" s="130">
        <f>13630.2106</f>
        <v>13630.2106</v>
      </c>
      <c r="J164" s="132"/>
    </row>
    <row r="165" spans="1:10" ht="14.1" customHeight="1" x14ac:dyDescent="0.25">
      <c r="A165" s="69"/>
      <c r="B165" s="55"/>
      <c r="C165" s="59" t="s">
        <v>32</v>
      </c>
      <c r="D165" s="60">
        <f>D167+D166</f>
        <v>7478</v>
      </c>
      <c r="E165" s="60">
        <f>E167+E166</f>
        <v>8254</v>
      </c>
      <c r="F165" s="136">
        <v>9.9076500000000003</v>
      </c>
      <c r="G165" s="136">
        <v>6008.6120300000002</v>
      </c>
      <c r="H165" s="136">
        <f>H166+H167</f>
        <v>2245.3879699999998</v>
      </c>
      <c r="I165" s="136">
        <v>5379.1511899999996</v>
      </c>
      <c r="J165" s="137"/>
    </row>
    <row r="166" spans="1:10" ht="14.1" customHeight="1" x14ac:dyDescent="0.25">
      <c r="A166" s="1"/>
      <c r="B166" s="254"/>
      <c r="C166" s="64" t="s">
        <v>78</v>
      </c>
      <c r="D166" s="65">
        <v>6978</v>
      </c>
      <c r="E166" s="65">
        <v>7754</v>
      </c>
      <c r="F166" s="130">
        <v>9.9076500000000003</v>
      </c>
      <c r="G166" s="130">
        <v>5867.1894400000001</v>
      </c>
      <c r="H166" s="130">
        <f t="shared" ref="H166:H174" si="12">E166-G166</f>
        <v>1886.8105599999999</v>
      </c>
      <c r="I166" s="130">
        <v>5324.01343</v>
      </c>
      <c r="J166" s="123"/>
    </row>
    <row r="167" spans="1:10" ht="15" customHeight="1" x14ac:dyDescent="0.25">
      <c r="A167" s="1"/>
      <c r="B167" s="55"/>
      <c r="C167" s="64" t="s">
        <v>79</v>
      </c>
      <c r="D167" s="65">
        <v>500</v>
      </c>
      <c r="E167" s="65">
        <v>500</v>
      </c>
      <c r="F167" s="130"/>
      <c r="G167" s="130">
        <f>G165-G166</f>
        <v>141.42259000000013</v>
      </c>
      <c r="H167" s="130">
        <f t="shared" si="12"/>
        <v>358.57740999999987</v>
      </c>
      <c r="I167" s="130">
        <f>I165-I166</f>
        <v>55.137759999999616</v>
      </c>
      <c r="J167" s="138"/>
    </row>
    <row r="168" spans="1:10" ht="15.75" customHeight="1" x14ac:dyDescent="0.25">
      <c r="A168" s="1"/>
      <c r="B168" s="254"/>
      <c r="C168" s="38" t="s">
        <v>12</v>
      </c>
      <c r="D168" s="63">
        <v>9517</v>
      </c>
      <c r="E168" s="63">
        <v>9535</v>
      </c>
      <c r="F168" s="78">
        <f>179.83151</f>
        <v>179.83151000000001</v>
      </c>
      <c r="G168" s="78">
        <f>7355.42598</f>
        <v>7355.42598</v>
      </c>
      <c r="H168" s="78">
        <f t="shared" si="12"/>
        <v>2179.57402</v>
      </c>
      <c r="I168" s="78">
        <f>7362.0518</f>
        <v>7362.0518000000002</v>
      </c>
      <c r="J168" s="123"/>
    </row>
    <row r="169" spans="1:10" ht="15.75" customHeight="1" x14ac:dyDescent="0.25">
      <c r="A169" s="1"/>
      <c r="B169" s="254"/>
      <c r="C169" s="147" t="s">
        <v>37</v>
      </c>
      <c r="D169" s="148">
        <v>142</v>
      </c>
      <c r="E169" s="148">
        <v>142</v>
      </c>
      <c r="F169" s="143">
        <f>2.383</f>
        <v>2.383</v>
      </c>
      <c r="G169" s="143">
        <f>26.85627</f>
        <v>26.856269999999999</v>
      </c>
      <c r="H169" s="143">
        <f t="shared" si="12"/>
        <v>115.14373000000001</v>
      </c>
      <c r="I169" s="143">
        <f>21.06976</f>
        <v>21.069759999999999</v>
      </c>
      <c r="J169" s="123"/>
    </row>
    <row r="170" spans="1:10" ht="15.75" customHeight="1" x14ac:dyDescent="0.25">
      <c r="A170" s="1"/>
      <c r="B170" s="254"/>
      <c r="C170" s="144" t="s">
        <v>80</v>
      </c>
      <c r="D170" s="93">
        <v>250</v>
      </c>
      <c r="E170" s="93">
        <v>250</v>
      </c>
      <c r="F170" s="102">
        <f>0</f>
        <v>0</v>
      </c>
      <c r="G170" s="102">
        <f>306.976</f>
        <v>306.976</v>
      </c>
      <c r="H170" s="102">
        <f t="shared" si="12"/>
        <v>-56.975999999999999</v>
      </c>
      <c r="I170" s="102">
        <f>252.609</f>
        <v>252.60900000000001</v>
      </c>
      <c r="J170" s="123"/>
    </row>
    <row r="171" spans="1:10" ht="18" customHeight="1" x14ac:dyDescent="0.25">
      <c r="A171" s="1"/>
      <c r="B171" s="254"/>
      <c r="C171" s="144" t="s">
        <v>81</v>
      </c>
      <c r="D171" s="148">
        <v>2000</v>
      </c>
      <c r="E171" s="148">
        <v>2000</v>
      </c>
      <c r="F171" s="143">
        <f>2.41374</f>
        <v>2.4137400000000002</v>
      </c>
      <c r="G171" s="143">
        <v>2000</v>
      </c>
      <c r="H171" s="143">
        <f t="shared" si="12"/>
        <v>0</v>
      </c>
      <c r="I171" s="143">
        <v>2000</v>
      </c>
      <c r="J171" s="244"/>
    </row>
    <row r="172" spans="1:10" ht="15.75" customHeight="1" x14ac:dyDescent="0.25">
      <c r="A172" s="1"/>
      <c r="B172" s="254"/>
      <c r="C172" s="147" t="s">
        <v>40</v>
      </c>
      <c r="D172" s="148"/>
      <c r="E172" s="148"/>
      <c r="F172" s="143">
        <v>0</v>
      </c>
      <c r="G172" s="143">
        <v>0</v>
      </c>
      <c r="H172" s="143">
        <f t="shared" si="12"/>
        <v>0</v>
      </c>
      <c r="I172" s="143"/>
      <c r="J172" s="123"/>
    </row>
    <row r="173" spans="1:10" ht="15.75" customHeight="1" x14ac:dyDescent="0.25">
      <c r="A173" s="1"/>
      <c r="B173" s="254"/>
      <c r="C173" s="147" t="s">
        <v>82</v>
      </c>
      <c r="D173" s="148">
        <v>57</v>
      </c>
      <c r="E173" s="148">
        <v>57</v>
      </c>
      <c r="F173" s="143"/>
      <c r="G173" s="143"/>
      <c r="H173" s="143">
        <f t="shared" si="12"/>
        <v>57</v>
      </c>
      <c r="I173" s="143"/>
      <c r="J173" s="123"/>
    </row>
    <row r="174" spans="1:10" ht="15" customHeight="1" x14ac:dyDescent="0.25">
      <c r="A174" s="1"/>
      <c r="B174" s="254"/>
      <c r="C174" s="147" t="s">
        <v>43</v>
      </c>
      <c r="D174" s="150"/>
      <c r="E174" s="148"/>
      <c r="F174" s="143">
        <v>0.8819999999996071</v>
      </c>
      <c r="G174" s="143">
        <v>427.82679999998072</v>
      </c>
      <c r="H174" s="143">
        <f t="shared" si="12"/>
        <v>-427.82679999998072</v>
      </c>
      <c r="I174" s="143">
        <v>433.18270000000484</v>
      </c>
      <c r="J174" s="123"/>
    </row>
    <row r="175" spans="1:10" ht="0" hidden="1" customHeight="1" x14ac:dyDescent="0.25">
      <c r="C175" s="152"/>
      <c r="D175" s="154"/>
      <c r="E175" s="155"/>
      <c r="F175" s="154"/>
      <c r="G175" s="154"/>
      <c r="H175" s="154"/>
      <c r="I175" s="160"/>
    </row>
    <row r="176" spans="1:10" ht="14.25" customHeight="1" x14ac:dyDescent="0.25">
      <c r="A176" s="161"/>
      <c r="B176" s="54"/>
      <c r="C176" s="162" t="s">
        <v>44</v>
      </c>
      <c r="D176" s="80">
        <f t="shared" ref="D176:E176" si="13">D154+D158+D159+D169+D170+D171+D172+D173+D174</f>
        <v>182657</v>
      </c>
      <c r="E176" s="80">
        <f t="shared" si="13"/>
        <v>183413</v>
      </c>
      <c r="F176" s="80">
        <f>F154+F158+F159+F169+F170+F171+F172+F173+F174</f>
        <v>2826.5932899999993</v>
      </c>
      <c r="G176" s="80">
        <f>G154+G158+G159+G169+G170+G171+G172+G173+G174</f>
        <v>159953.07634999996</v>
      </c>
      <c r="H176" s="80">
        <f>H154+H158+H159+H169+H170+H171+H172+H173+H174</f>
        <v>23459.923650000026</v>
      </c>
      <c r="I176" s="80">
        <f>I154+I158+I159+I169+I170+I171+I172+I173+I174</f>
        <v>142471.80964000002</v>
      </c>
      <c r="J176" s="164"/>
    </row>
    <row r="177" spans="1:10" ht="14.25" customHeight="1" x14ac:dyDescent="0.25">
      <c r="A177" s="161"/>
      <c r="B177" s="54"/>
      <c r="C177" s="165" t="s">
        <v>83</v>
      </c>
      <c r="D177" s="122"/>
      <c r="E177" s="122"/>
      <c r="F177" s="122"/>
      <c r="G177" s="122"/>
      <c r="H177" s="167"/>
      <c r="I177" s="167"/>
      <c r="J177" s="164"/>
    </row>
    <row r="178" spans="1:10" ht="14.25" customHeight="1" x14ac:dyDescent="0.25">
      <c r="A178" s="161"/>
      <c r="B178" s="54"/>
      <c r="C178" s="101" t="s">
        <v>84</v>
      </c>
      <c r="D178" s="122"/>
      <c r="E178" s="122"/>
      <c r="F178" s="122"/>
      <c r="G178" s="122"/>
      <c r="H178" s="167"/>
      <c r="I178" s="161"/>
      <c r="J178" s="280"/>
    </row>
    <row r="179" spans="1:10" ht="14.25" customHeight="1" x14ac:dyDescent="0.25">
      <c r="A179" s="161"/>
      <c r="B179" s="54"/>
      <c r="C179" s="165" t="s">
        <v>149</v>
      </c>
      <c r="D179" s="122"/>
      <c r="E179" s="122"/>
      <c r="F179" s="122"/>
      <c r="G179" s="122"/>
      <c r="H179" s="167"/>
      <c r="I179" s="161"/>
      <c r="J179" s="280"/>
    </row>
    <row r="180" spans="1:10" ht="14.25" customHeight="1" x14ac:dyDescent="0.25">
      <c r="A180" s="161"/>
      <c r="B180" s="54"/>
      <c r="C180" s="305" t="s">
        <v>148</v>
      </c>
      <c r="D180" s="122"/>
      <c r="E180" s="122"/>
      <c r="F180" s="122"/>
      <c r="G180" s="122"/>
      <c r="H180" s="167"/>
      <c r="I180" s="167"/>
      <c r="J180" s="280"/>
    </row>
    <row r="181" spans="1:10" ht="15.75" customHeight="1" x14ac:dyDescent="0.25">
      <c r="A181" s="161"/>
      <c r="B181" s="54"/>
      <c r="C181" s="165" t="s">
        <v>85</v>
      </c>
      <c r="D181" s="122"/>
      <c r="E181" s="122"/>
      <c r="F181" s="122"/>
      <c r="G181" s="122"/>
      <c r="H181" s="167"/>
      <c r="I181" s="167"/>
      <c r="J181" s="280"/>
    </row>
    <row r="182" spans="1:10" ht="15.75" customHeight="1" x14ac:dyDescent="0.25">
      <c r="A182" s="161"/>
      <c r="B182" s="54"/>
      <c r="C182" s="81" t="s">
        <v>86</v>
      </c>
      <c r="D182" s="122"/>
      <c r="E182" s="122"/>
      <c r="F182" s="122"/>
      <c r="G182" s="122"/>
      <c r="H182" s="167"/>
      <c r="I182" s="167"/>
      <c r="J182" s="280"/>
    </row>
    <row r="183" spans="1:10" ht="12" customHeight="1" x14ac:dyDescent="0.25">
      <c r="A183" s="1"/>
      <c r="B183" s="169"/>
      <c r="C183" s="110"/>
      <c r="D183" s="172"/>
      <c r="E183" s="172"/>
      <c r="F183" s="172"/>
      <c r="G183" s="172"/>
      <c r="H183" s="110"/>
      <c r="I183" s="110"/>
      <c r="J183" s="121"/>
    </row>
    <row r="184" spans="1:10" ht="12" customHeight="1" x14ac:dyDescent="0.25">
      <c r="A184" s="1"/>
      <c r="B184" s="1"/>
      <c r="C184" s="202"/>
      <c r="D184" s="174"/>
      <c r="E184" s="174"/>
      <c r="F184" s="174"/>
      <c r="G184" s="174"/>
      <c r="H184" s="1"/>
      <c r="I184" s="1"/>
      <c r="J184" s="1"/>
    </row>
    <row r="185" spans="1:10" ht="37.5" customHeight="1" x14ac:dyDescent="0.25">
      <c r="A185" s="1"/>
      <c r="B185" s="1"/>
      <c r="C185" s="202"/>
      <c r="D185" s="174"/>
      <c r="E185" s="174"/>
      <c r="F185" s="174"/>
      <c r="G185" s="174"/>
      <c r="H185" s="1"/>
      <c r="I185" s="1"/>
      <c r="J185" s="1"/>
    </row>
    <row r="186" spans="1:10" ht="36.75" customHeight="1" x14ac:dyDescent="0.25">
      <c r="A186" s="1"/>
      <c r="B186" s="1"/>
      <c r="C186" s="202"/>
      <c r="D186" s="174"/>
      <c r="E186" s="174"/>
      <c r="F186" s="174"/>
      <c r="G186" s="174"/>
      <c r="H186" s="1"/>
      <c r="I186" s="1"/>
      <c r="J186" s="1"/>
    </row>
    <row r="187" spans="1:10" ht="20.25" customHeight="1" x14ac:dyDescent="0.25">
      <c r="A187" s="1"/>
      <c r="B187" s="1"/>
      <c r="C187" s="202"/>
      <c r="D187" s="174"/>
      <c r="E187" s="174"/>
      <c r="F187" s="174"/>
      <c r="G187" s="174"/>
      <c r="H187" s="1"/>
      <c r="I187" s="1"/>
      <c r="J187" s="1"/>
    </row>
    <row r="188" spans="1:10" ht="21.75" customHeight="1" x14ac:dyDescent="0.25">
      <c r="A188" s="1" t="s">
        <v>141</v>
      </c>
      <c r="B188" s="2"/>
      <c r="C188" s="219" t="s">
        <v>87</v>
      </c>
      <c r="D188" s="2"/>
      <c r="E188" s="2"/>
      <c r="F188" s="2"/>
      <c r="G188" s="2"/>
      <c r="H188" s="2"/>
      <c r="I188" s="2"/>
      <c r="J188" s="2"/>
    </row>
    <row r="189" spans="1:10" ht="6" customHeight="1" x14ac:dyDescent="0.25">
      <c r="A189" s="1"/>
      <c r="B189" s="2"/>
      <c r="C189" s="219"/>
      <c r="D189" s="2"/>
      <c r="E189" s="2"/>
      <c r="F189" s="2"/>
      <c r="G189" s="2"/>
      <c r="H189" s="2"/>
      <c r="I189" s="2"/>
      <c r="J189" s="2"/>
    </row>
    <row r="190" spans="1:10" ht="12" customHeight="1" x14ac:dyDescent="0.25">
      <c r="A190" s="1" t="s">
        <v>141</v>
      </c>
      <c r="B190" s="139"/>
      <c r="C190" s="178"/>
      <c r="D190" s="178"/>
      <c r="E190" s="178"/>
      <c r="F190" s="178"/>
      <c r="G190" s="178"/>
      <c r="H190" s="178"/>
      <c r="I190" s="178"/>
      <c r="J190" s="181"/>
    </row>
    <row r="191" spans="1:10" ht="14.1" customHeight="1" x14ac:dyDescent="0.25">
      <c r="A191" s="1" t="s">
        <v>141</v>
      </c>
      <c r="B191" s="254"/>
      <c r="C191" s="153" t="s">
        <v>2</v>
      </c>
      <c r="D191" s="189"/>
      <c r="E191" s="281"/>
      <c r="F191" s="281"/>
      <c r="G191" s="281"/>
      <c r="H191" s="1"/>
      <c r="I191" s="1"/>
      <c r="J191" s="123"/>
    </row>
    <row r="192" spans="1:10" ht="14.1" customHeight="1" x14ac:dyDescent="0.25">
      <c r="A192" s="1"/>
      <c r="B192" s="254"/>
      <c r="C192" s="182" t="s">
        <v>7</v>
      </c>
      <c r="D192" s="194">
        <v>12975</v>
      </c>
      <c r="E192" s="281"/>
      <c r="F192" s="281"/>
      <c r="G192" s="281"/>
      <c r="H192" s="1"/>
      <c r="I192" s="1"/>
      <c r="J192" s="123"/>
    </row>
    <row r="193" spans="1:10" ht="14.1" customHeight="1" x14ac:dyDescent="0.25">
      <c r="A193" s="1"/>
      <c r="B193" s="254"/>
      <c r="C193" s="182" t="s">
        <v>10</v>
      </c>
      <c r="D193" s="194">
        <v>11085</v>
      </c>
      <c r="E193" s="281"/>
      <c r="F193" s="281"/>
      <c r="G193" s="235"/>
      <c r="H193" s="1"/>
      <c r="I193" s="1"/>
      <c r="J193" s="123"/>
    </row>
    <row r="194" spans="1:10" ht="14.1" customHeight="1" x14ac:dyDescent="0.25">
      <c r="A194" s="1"/>
      <c r="B194" s="254"/>
      <c r="C194" s="182" t="s">
        <v>88</v>
      </c>
      <c r="D194" s="194">
        <v>940</v>
      </c>
      <c r="E194" s="281"/>
      <c r="F194" s="281"/>
      <c r="G194" s="281"/>
      <c r="H194" s="1"/>
      <c r="I194" s="1"/>
      <c r="J194" s="123"/>
    </row>
    <row r="195" spans="1:10" ht="14.1" customHeight="1" x14ac:dyDescent="0.25">
      <c r="A195" s="1"/>
      <c r="B195" s="254"/>
      <c r="C195" s="182" t="s">
        <v>57</v>
      </c>
      <c r="D195" s="194">
        <v>25000</v>
      </c>
      <c r="E195" s="281"/>
      <c r="F195" s="281"/>
      <c r="G195" s="281"/>
      <c r="H195" s="1"/>
      <c r="I195" s="1"/>
      <c r="J195" s="123"/>
    </row>
    <row r="196" spans="1:10" ht="14.1" customHeight="1" x14ac:dyDescent="0.25">
      <c r="A196" s="1"/>
      <c r="B196" s="254"/>
      <c r="C196" s="1"/>
      <c r="D196" s="49"/>
      <c r="E196" s="281"/>
      <c r="F196" s="281"/>
      <c r="G196" s="281"/>
      <c r="H196" s="1"/>
      <c r="I196" s="1"/>
      <c r="J196" s="123"/>
    </row>
    <row r="197" spans="1:10" ht="3.75" customHeight="1" x14ac:dyDescent="0.25">
      <c r="A197" s="1"/>
      <c r="B197" s="241"/>
      <c r="C197" s="163"/>
      <c r="D197" s="163"/>
      <c r="E197" s="267"/>
      <c r="F197" s="267"/>
      <c r="G197" s="267"/>
      <c r="H197" s="233"/>
      <c r="I197" s="233"/>
      <c r="J197" s="245"/>
    </row>
    <row r="198" spans="1:10" ht="24.75" customHeight="1" x14ac:dyDescent="0.25">
      <c r="A198" s="1"/>
      <c r="B198" s="254"/>
      <c r="C198" s="18" t="s">
        <v>18</v>
      </c>
      <c r="D198" s="183"/>
      <c r="E198" s="174"/>
      <c r="F198" s="174"/>
      <c r="G198" s="174"/>
      <c r="H198" s="1"/>
      <c r="I198" s="1"/>
      <c r="J198" s="123"/>
    </row>
    <row r="199" spans="1:10" ht="15.75" customHeight="1" x14ac:dyDescent="0.25">
      <c r="A199" s="1"/>
      <c r="B199" s="203"/>
      <c r="C199" s="224"/>
      <c r="D199" s="224"/>
      <c r="E199" s="224"/>
      <c r="F199" s="224"/>
      <c r="G199" s="224"/>
      <c r="H199" s="224"/>
      <c r="I199" s="224"/>
      <c r="J199" s="13"/>
    </row>
    <row r="200" spans="1:10" ht="61.5" customHeight="1" x14ac:dyDescent="0.25">
      <c r="A200" s="161"/>
      <c r="B200" s="54"/>
      <c r="C200" s="15" t="s">
        <v>19</v>
      </c>
      <c r="D200" s="180" t="s">
        <v>3</v>
      </c>
      <c r="E200" s="15" t="s">
        <v>142</v>
      </c>
      <c r="F200" s="15" t="s">
        <v>143</v>
      </c>
      <c r="G200" s="56" t="s">
        <v>144</v>
      </c>
      <c r="H200" s="15" t="s">
        <v>145</v>
      </c>
      <c r="I200" s="161"/>
      <c r="J200" s="280"/>
    </row>
    <row r="201" spans="1:10" ht="14.1" customHeight="1" x14ac:dyDescent="0.25">
      <c r="A201" s="1"/>
      <c r="B201" s="254"/>
      <c r="C201" s="145" t="s">
        <v>89</v>
      </c>
      <c r="D201" s="97">
        <v>5082</v>
      </c>
      <c r="E201" s="276">
        <f>126.3402</f>
        <v>126.3402</v>
      </c>
      <c r="F201" s="276">
        <f>2049.629</f>
        <v>2049.6289999999999</v>
      </c>
      <c r="G201" s="45">
        <f>D201-F201-F202</f>
        <v>1469.02115</v>
      </c>
      <c r="H201" s="276">
        <f>1644.95485</f>
        <v>1644.9548500000001</v>
      </c>
      <c r="I201" s="1"/>
      <c r="J201" s="123"/>
    </row>
    <row r="202" spans="1:10" ht="14.1" customHeight="1" x14ac:dyDescent="0.25">
      <c r="A202" s="1"/>
      <c r="B202" s="254"/>
      <c r="C202" s="141" t="s">
        <v>62</v>
      </c>
      <c r="D202" s="185"/>
      <c r="E202" s="156">
        <f>0.03554</f>
        <v>3.5540000000000002E-2</v>
      </c>
      <c r="F202" s="156">
        <f>1563.34985</f>
        <v>1563.3498500000001</v>
      </c>
      <c r="G202" s="217"/>
      <c r="H202" s="156">
        <f>1934.27604</f>
        <v>1934.27604</v>
      </c>
      <c r="I202" s="1"/>
      <c r="J202" s="123"/>
    </row>
    <row r="203" spans="1:10" ht="15.6" customHeight="1" x14ac:dyDescent="0.25">
      <c r="A203" s="1"/>
      <c r="B203" s="254"/>
      <c r="C203" s="173" t="s">
        <v>90</v>
      </c>
      <c r="D203" s="102">
        <v>200</v>
      </c>
      <c r="E203" s="176">
        <f>0.04768</f>
        <v>4.768E-2</v>
      </c>
      <c r="F203" s="176">
        <f>51.02618</f>
        <v>51.026179999999997</v>
      </c>
      <c r="G203" s="176">
        <f>D203-F203</f>
        <v>148.97381999999999</v>
      </c>
      <c r="H203" s="176">
        <f>88.43892</f>
        <v>88.438919999999996</v>
      </c>
      <c r="I203" s="1"/>
      <c r="J203" s="123"/>
    </row>
    <row r="204" spans="1:10" ht="14.1" customHeight="1" x14ac:dyDescent="0.25">
      <c r="A204" s="70"/>
      <c r="B204" s="82"/>
      <c r="C204" s="184" t="s">
        <v>91</v>
      </c>
      <c r="D204" s="185">
        <v>7622</v>
      </c>
      <c r="E204" s="185">
        <f>E205+E206+E207</f>
        <v>47.880200000000002</v>
      </c>
      <c r="F204" s="185">
        <f>F205+F206+F207</f>
        <v>7736.4099199999991</v>
      </c>
      <c r="G204" s="185">
        <f>D204-F204</f>
        <v>-114.40991999999915</v>
      </c>
      <c r="H204" s="185">
        <f>H205+H206+H207</f>
        <v>8067.1105800000005</v>
      </c>
      <c r="I204" s="70"/>
      <c r="J204" s="119"/>
    </row>
    <row r="205" spans="1:10" ht="14.1" customHeight="1" x14ac:dyDescent="0.25">
      <c r="A205" s="202"/>
      <c r="B205" s="186"/>
      <c r="C205" s="187" t="s">
        <v>92</v>
      </c>
      <c r="D205" s="130"/>
      <c r="E205" s="130">
        <f>3.71696</f>
        <v>3.7169599999999998</v>
      </c>
      <c r="F205" s="130">
        <f>3948.69078</f>
        <v>3948.6907799999999</v>
      </c>
      <c r="G205" s="130"/>
      <c r="H205" s="130">
        <f>4074.83818</f>
        <v>4074.8381800000002</v>
      </c>
      <c r="I205" s="191"/>
      <c r="J205" s="132"/>
    </row>
    <row r="206" spans="1:10" ht="14.1" customHeight="1" x14ac:dyDescent="0.25">
      <c r="A206" s="202"/>
      <c r="B206" s="186"/>
      <c r="C206" s="187" t="s">
        <v>93</v>
      </c>
      <c r="D206" s="130"/>
      <c r="E206" s="130">
        <f>23.54867</f>
        <v>23.548670000000001</v>
      </c>
      <c r="F206" s="130">
        <f>2470.94469</f>
        <v>2470.9446899999998</v>
      </c>
      <c r="G206" s="130"/>
      <c r="H206" s="130">
        <f>2491.80445</f>
        <v>2491.8044500000001</v>
      </c>
      <c r="I206" s="191"/>
      <c r="J206" s="192"/>
    </row>
    <row r="207" spans="1:10" ht="14.1" customHeight="1" x14ac:dyDescent="0.25">
      <c r="A207" s="202"/>
      <c r="B207" s="186"/>
      <c r="C207" s="193" t="s">
        <v>94</v>
      </c>
      <c r="D207" s="196"/>
      <c r="E207" s="196">
        <f>20.61457</f>
        <v>20.614570000000001</v>
      </c>
      <c r="F207" s="196">
        <f>1316.77445</f>
        <v>1316.7744499999999</v>
      </c>
      <c r="G207" s="196"/>
      <c r="H207" s="196">
        <f>1500.46795</f>
        <v>1500.46795</v>
      </c>
      <c r="I207" s="191"/>
      <c r="J207" s="192"/>
    </row>
    <row r="208" spans="1:10" ht="14.1" customHeight="1" x14ac:dyDescent="0.25">
      <c r="A208" s="1"/>
      <c r="B208" s="254"/>
      <c r="C208" s="76" t="s">
        <v>95</v>
      </c>
      <c r="D208" s="143">
        <v>71</v>
      </c>
      <c r="E208" s="143">
        <f>0</f>
        <v>0</v>
      </c>
      <c r="F208" s="143">
        <f>0</f>
        <v>0</v>
      </c>
      <c r="G208" s="143">
        <f>D208-F208</f>
        <v>71</v>
      </c>
      <c r="H208" s="143">
        <f>0.6292</f>
        <v>0.62919999999999998</v>
      </c>
      <c r="I208" s="183"/>
      <c r="J208" s="244"/>
    </row>
    <row r="209" spans="1:10" ht="16.5" customHeight="1" x14ac:dyDescent="0.25">
      <c r="A209" s="1"/>
      <c r="B209" s="254"/>
      <c r="C209" s="96" t="s">
        <v>96</v>
      </c>
      <c r="D209" s="197"/>
      <c r="E209" s="97"/>
      <c r="F209" s="97"/>
      <c r="G209" s="97">
        <v>7.4999999999999997E-3</v>
      </c>
      <c r="H209" s="97"/>
      <c r="I209" s="183"/>
      <c r="J209" s="244"/>
    </row>
    <row r="210" spans="1:10" ht="19.350000000000001" customHeight="1" x14ac:dyDescent="0.25">
      <c r="A210" s="161"/>
      <c r="B210" s="54"/>
      <c r="C210" s="77" t="s">
        <v>44</v>
      </c>
      <c r="D210" s="198">
        <f>D201+D203+D204+D208</f>
        <v>12975</v>
      </c>
      <c r="E210" s="198">
        <f>E201+E202+E203+E204+E208+E209</f>
        <v>174.30362</v>
      </c>
      <c r="F210" s="198">
        <f>F201+F202+F203+F204+F208+F209</f>
        <v>11400.414949999998</v>
      </c>
      <c r="G210" s="198">
        <f>D210-F210</f>
        <v>1574.5850500000015</v>
      </c>
      <c r="H210" s="198">
        <f>H201+H202+H203+H204+H208+H209</f>
        <v>11735.409589999999</v>
      </c>
      <c r="I210" s="167"/>
      <c r="J210" s="164"/>
    </row>
    <row r="211" spans="1:10" ht="42" customHeight="1" x14ac:dyDescent="0.25">
      <c r="A211" s="1"/>
      <c r="B211" s="203"/>
      <c r="C211" s="227" t="s">
        <v>97</v>
      </c>
      <c r="D211" s="227"/>
      <c r="E211" s="227"/>
      <c r="F211" s="227"/>
      <c r="G211" s="227"/>
      <c r="H211" s="224"/>
      <c r="I211" s="224"/>
      <c r="J211" s="13"/>
    </row>
    <row r="212" spans="1:10" ht="12" customHeight="1" x14ac:dyDescent="0.25">
      <c r="A212" s="161" t="s">
        <v>141</v>
      </c>
      <c r="B212" s="199"/>
      <c r="C212" s="110"/>
      <c r="D212" s="110"/>
      <c r="E212" s="110"/>
      <c r="F212" s="110"/>
      <c r="G212" s="110"/>
      <c r="H212" s="200"/>
      <c r="I212" s="204"/>
      <c r="J212" s="205"/>
    </row>
    <row r="213" spans="1:10" ht="10.5" customHeight="1" x14ac:dyDescent="0.25">
      <c r="A213" s="154"/>
      <c r="B213" s="1"/>
      <c r="C213" s="202"/>
      <c r="D213" s="174"/>
      <c r="E213" s="174"/>
      <c r="F213" s="174"/>
      <c r="G213" s="174"/>
      <c r="H213" s="1"/>
      <c r="I213" s="1"/>
      <c r="J213" s="1"/>
    </row>
    <row r="214" spans="1:10" ht="10.5" customHeight="1" x14ac:dyDescent="0.25">
      <c r="A214" s="154" t="s">
        <v>141</v>
      </c>
      <c r="B214" s="1"/>
      <c r="C214" s="202"/>
      <c r="D214" s="174"/>
      <c r="E214" s="174"/>
      <c r="F214" s="174"/>
      <c r="G214" s="174"/>
      <c r="H214" s="1"/>
      <c r="I214" s="1"/>
      <c r="J214" s="1"/>
    </row>
    <row r="215" spans="1:10" ht="21.75" customHeight="1" x14ac:dyDescent="0.35">
      <c r="A215" s="154"/>
      <c r="B215" s="1"/>
      <c r="C215" s="215" t="s">
        <v>98</v>
      </c>
      <c r="D215" s="174"/>
      <c r="E215" s="174"/>
      <c r="F215" s="174"/>
      <c r="G215" s="174"/>
      <c r="H215" s="1"/>
      <c r="I215" s="1"/>
      <c r="J215" s="1"/>
    </row>
    <row r="216" spans="1:10" ht="21.75" customHeight="1" x14ac:dyDescent="0.35">
      <c r="A216" s="154" t="s">
        <v>141</v>
      </c>
      <c r="B216" s="1"/>
      <c r="C216" s="215"/>
      <c r="D216" s="174"/>
      <c r="E216" s="174"/>
      <c r="F216" s="174"/>
      <c r="G216" s="174"/>
      <c r="H216" s="1"/>
      <c r="I216" s="1"/>
      <c r="J216" s="1"/>
    </row>
    <row r="217" spans="1:10" ht="12" customHeight="1" x14ac:dyDescent="0.25">
      <c r="A217" s="154"/>
      <c r="B217" s="142"/>
      <c r="C217" s="226"/>
      <c r="D217" s="237"/>
      <c r="E217" s="237"/>
      <c r="F217" s="237"/>
      <c r="G217" s="237"/>
      <c r="H217" s="159"/>
      <c r="I217" s="159"/>
      <c r="J217" s="166"/>
    </row>
    <row r="218" spans="1:10" ht="15" customHeight="1" x14ac:dyDescent="0.25">
      <c r="A218" s="154"/>
      <c r="B218" s="254"/>
      <c r="C218" s="153" t="s">
        <v>2</v>
      </c>
      <c r="D218" s="189"/>
      <c r="E218" s="154"/>
      <c r="F218" s="154"/>
      <c r="G218" s="174"/>
      <c r="H218" s="1"/>
      <c r="I218" s="1"/>
      <c r="J218" s="123"/>
    </row>
    <row r="219" spans="1:10" ht="15" customHeight="1" x14ac:dyDescent="0.25">
      <c r="A219" s="154"/>
      <c r="B219" s="254"/>
      <c r="C219" s="259" t="s">
        <v>99</v>
      </c>
      <c r="D219" s="270">
        <v>44291</v>
      </c>
      <c r="E219" s="154"/>
      <c r="F219" s="154"/>
      <c r="G219" s="174"/>
      <c r="H219" s="1"/>
      <c r="I219" s="1"/>
      <c r="J219" s="123"/>
    </row>
    <row r="220" spans="1:10" ht="15" customHeight="1" x14ac:dyDescent="0.25">
      <c r="A220" s="154"/>
      <c r="B220" s="254"/>
      <c r="C220" s="248" t="s">
        <v>100</v>
      </c>
      <c r="D220" s="46">
        <v>15198</v>
      </c>
      <c r="E220" s="154"/>
      <c r="F220" s="154"/>
      <c r="G220" s="174"/>
      <c r="H220" s="1"/>
      <c r="I220" s="1"/>
      <c r="J220" s="123"/>
    </row>
    <row r="221" spans="1:10" ht="18" customHeight="1" x14ac:dyDescent="0.25">
      <c r="A221" s="154"/>
      <c r="B221" s="254"/>
      <c r="C221" s="248" t="s">
        <v>101</v>
      </c>
      <c r="D221" s="46">
        <v>7721</v>
      </c>
      <c r="E221" s="154"/>
      <c r="F221" s="154"/>
      <c r="G221" s="174"/>
      <c r="H221" s="1"/>
      <c r="I221" s="1"/>
      <c r="J221" s="123"/>
    </row>
    <row r="222" spans="1:10" ht="11.25" customHeight="1" x14ac:dyDescent="0.25">
      <c r="A222" s="154"/>
      <c r="B222" s="254"/>
      <c r="C222" s="57" t="s">
        <v>57</v>
      </c>
      <c r="D222" s="35">
        <v>67210</v>
      </c>
      <c r="E222" s="154"/>
      <c r="F222" s="154"/>
      <c r="G222" s="174"/>
      <c r="H222" s="1"/>
      <c r="I222" s="1"/>
      <c r="J222" s="123"/>
    </row>
    <row r="223" spans="1:10" ht="12" customHeight="1" x14ac:dyDescent="0.25">
      <c r="A223" s="1"/>
      <c r="B223" s="254"/>
      <c r="C223" s="101" t="s">
        <v>102</v>
      </c>
      <c r="D223" s="174"/>
      <c r="E223" s="174"/>
      <c r="F223" s="174"/>
      <c r="G223" s="174"/>
      <c r="H223" s="1"/>
      <c r="I223" s="1"/>
      <c r="J223" s="123"/>
    </row>
    <row r="224" spans="1:10" ht="10.5" customHeight="1" x14ac:dyDescent="0.25">
      <c r="A224" s="1"/>
      <c r="B224" s="254"/>
      <c r="C224" s="101" t="s">
        <v>103</v>
      </c>
      <c r="D224" s="174"/>
      <c r="E224" s="174"/>
      <c r="F224" s="174"/>
      <c r="G224" s="174"/>
      <c r="H224" s="1"/>
      <c r="I224" s="1"/>
      <c r="J224" s="123"/>
    </row>
    <row r="225" spans="1:10" ht="12" customHeight="1" x14ac:dyDescent="0.25">
      <c r="A225" s="1"/>
      <c r="B225" s="254"/>
      <c r="C225" s="101" t="s">
        <v>104</v>
      </c>
      <c r="D225" s="174"/>
      <c r="E225" s="174"/>
      <c r="F225" s="174"/>
      <c r="G225" s="174"/>
      <c r="H225" s="1"/>
      <c r="I225" s="1"/>
      <c r="J225" s="123"/>
    </row>
    <row r="226" spans="1:10" ht="12" customHeight="1" x14ac:dyDescent="0.25">
      <c r="A226" s="1"/>
      <c r="B226" s="241"/>
      <c r="C226" s="267"/>
      <c r="D226" s="163"/>
      <c r="E226" s="163"/>
      <c r="F226" s="267"/>
      <c r="G226" s="267"/>
      <c r="H226" s="267"/>
      <c r="I226" s="233"/>
      <c r="J226" s="245"/>
    </row>
    <row r="227" spans="1:10" ht="23.25" customHeight="1" x14ac:dyDescent="0.25">
      <c r="A227" s="1"/>
      <c r="B227" s="254"/>
      <c r="C227" s="18" t="s">
        <v>18</v>
      </c>
      <c r="D227" s="174"/>
      <c r="E227" s="174"/>
      <c r="F227" s="174"/>
      <c r="G227" s="1"/>
      <c r="H227" s="1"/>
      <c r="I227" s="1"/>
      <c r="J227" s="123"/>
    </row>
    <row r="228" spans="1:10" ht="15" customHeight="1" x14ac:dyDescent="0.25">
      <c r="A228" s="1"/>
      <c r="B228" s="254"/>
      <c r="C228" s="101"/>
      <c r="D228" s="174"/>
      <c r="E228" s="174"/>
      <c r="F228" s="174"/>
      <c r="G228" s="174"/>
      <c r="H228" s="1"/>
      <c r="I228" s="1"/>
      <c r="J228" s="123"/>
    </row>
    <row r="229" spans="1:10" ht="48.75" customHeight="1" x14ac:dyDescent="0.25">
      <c r="A229" s="1"/>
      <c r="B229" s="254"/>
      <c r="C229" s="68" t="s">
        <v>19</v>
      </c>
      <c r="D229" s="79" t="s">
        <v>3</v>
      </c>
      <c r="E229" s="68" t="s">
        <v>142</v>
      </c>
      <c r="F229" s="68" t="s">
        <v>143</v>
      </c>
      <c r="G229" s="68" t="s">
        <v>144</v>
      </c>
      <c r="H229" s="68" t="s">
        <v>145</v>
      </c>
      <c r="I229" s="1"/>
      <c r="J229" s="123"/>
    </row>
    <row r="230" spans="1:10" ht="15" customHeight="1" x14ac:dyDescent="0.25">
      <c r="A230" s="1"/>
      <c r="B230" s="254"/>
      <c r="C230" s="90" t="s">
        <v>5</v>
      </c>
      <c r="D230" s="124">
        <v>44139</v>
      </c>
      <c r="E230" s="124">
        <f>237.67297</f>
        <v>237.67296999999999</v>
      </c>
      <c r="F230" s="124">
        <f>36523.56115</f>
        <v>36523.561150000001</v>
      </c>
      <c r="G230" s="124">
        <f>D230-F230</f>
        <v>7615.4388499999986</v>
      </c>
      <c r="H230" s="124">
        <f>42552.44881</f>
        <v>42552.448810000002</v>
      </c>
      <c r="I230" s="248"/>
      <c r="J230" s="123"/>
    </row>
    <row r="231" spans="1:10" ht="15" customHeight="1" x14ac:dyDescent="0.25">
      <c r="A231" s="1"/>
      <c r="B231" s="254"/>
      <c r="C231" s="90" t="s">
        <v>79</v>
      </c>
      <c r="D231" s="124">
        <v>100</v>
      </c>
      <c r="E231" s="124">
        <f>0.36679</f>
        <v>0.36679</v>
      </c>
      <c r="F231" s="124">
        <f>58.5716</f>
        <v>58.571599999999997</v>
      </c>
      <c r="G231" s="124">
        <f>D231-F231</f>
        <v>41.428400000000003</v>
      </c>
      <c r="H231" s="124">
        <f>30.02648</f>
        <v>30.026479999999999</v>
      </c>
      <c r="I231" s="248"/>
      <c r="J231" s="123"/>
    </row>
    <row r="232" spans="1:10" ht="15.75" customHeight="1" x14ac:dyDescent="0.25">
      <c r="A232" s="1"/>
      <c r="B232" s="254"/>
      <c r="C232" s="146" t="s">
        <v>95</v>
      </c>
      <c r="D232" s="168">
        <v>52</v>
      </c>
      <c r="E232" s="168"/>
      <c r="F232" s="168"/>
      <c r="G232" s="168">
        <f>D232-F232</f>
        <v>52</v>
      </c>
      <c r="H232" s="168"/>
      <c r="I232" s="248"/>
      <c r="J232" s="123"/>
    </row>
    <row r="233" spans="1:10" ht="16.5" customHeight="1" x14ac:dyDescent="0.25">
      <c r="A233" s="1"/>
      <c r="B233" s="254"/>
      <c r="C233" s="179" t="s">
        <v>105</v>
      </c>
      <c r="D233" s="190">
        <f>SUM(D230:D232)</f>
        <v>44291</v>
      </c>
      <c r="E233" s="190">
        <f>SUM(E230:E232)</f>
        <v>238.03976</v>
      </c>
      <c r="F233" s="190">
        <f>SUM(F230:F232)</f>
        <v>36582.132750000004</v>
      </c>
      <c r="G233" s="190">
        <f>D233-F233</f>
        <v>7708.8672499999957</v>
      </c>
      <c r="H233" s="190">
        <f>SUM(H230:H232)</f>
        <v>42582.475290000002</v>
      </c>
      <c r="I233" s="248"/>
      <c r="J233" s="123"/>
    </row>
    <row r="234" spans="1:10" ht="17.100000000000001" customHeight="1" x14ac:dyDescent="0.25">
      <c r="A234" s="1"/>
      <c r="B234" s="169"/>
      <c r="C234" s="201" t="s">
        <v>106</v>
      </c>
      <c r="D234" s="110"/>
      <c r="E234" s="110"/>
      <c r="F234" s="212"/>
      <c r="G234" s="212"/>
      <c r="H234" s="212"/>
      <c r="I234" s="212"/>
      <c r="J234" s="216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0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0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0" hidden="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0" hidden="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0" hidden="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0" hidden="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0" hidden="1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0" hidden="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0" hidden="1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0" hidden="1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0" hidden="1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0" hidden="1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0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0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7.100000000000001" customHeight="1" x14ac:dyDescent="0.25">
      <c r="A268" s="1" t="s">
        <v>141</v>
      </c>
      <c r="B268" s="1"/>
      <c r="C268" s="1"/>
      <c r="D268" s="1"/>
      <c r="E268" s="1"/>
      <c r="F268" s="1"/>
      <c r="G268" s="1"/>
      <c r="H268" s="1"/>
      <c r="I268" s="1"/>
      <c r="J268" s="218"/>
    </row>
    <row r="269" spans="1:10" ht="30" customHeight="1" x14ac:dyDescent="0.25">
      <c r="A269" s="218"/>
      <c r="B269" s="218"/>
      <c r="C269" s="219" t="s">
        <v>107</v>
      </c>
      <c r="D269" s="218"/>
      <c r="E269" s="218"/>
      <c r="F269" s="218"/>
      <c r="G269" s="218"/>
      <c r="H269" s="218"/>
      <c r="I269" s="218"/>
      <c r="J269" s="224"/>
    </row>
    <row r="270" spans="1:10" ht="30" customHeight="1" x14ac:dyDescent="0.25">
      <c r="A270" s="218" t="s">
        <v>141</v>
      </c>
      <c r="B270" s="218"/>
      <c r="C270" s="219"/>
      <c r="D270" s="218"/>
      <c r="E270" s="218"/>
      <c r="F270" s="218"/>
      <c r="G270" s="218"/>
      <c r="H270" s="218"/>
      <c r="I270" s="218"/>
      <c r="J270" s="224"/>
    </row>
    <row r="271" spans="1:10" ht="14.1" customHeight="1" x14ac:dyDescent="0.25">
      <c r="A271" s="1"/>
      <c r="B271" s="139"/>
      <c r="C271" s="178"/>
      <c r="D271" s="178"/>
      <c r="E271" s="178"/>
      <c r="F271" s="178"/>
      <c r="G271" s="178"/>
      <c r="H271" s="178"/>
      <c r="I271" s="178"/>
      <c r="J271" s="166"/>
    </row>
    <row r="272" spans="1:10" ht="14.1" customHeight="1" x14ac:dyDescent="0.25">
      <c r="A272" s="161"/>
      <c r="B272" s="54"/>
      <c r="C272" s="153" t="s">
        <v>2</v>
      </c>
      <c r="D272" s="189"/>
      <c r="E272" s="154"/>
      <c r="F272" s="154"/>
      <c r="G272" s="161"/>
      <c r="H272" s="161"/>
      <c r="I272" s="161"/>
      <c r="J272" s="123"/>
    </row>
    <row r="273" spans="1:10" ht="14.1" customHeight="1" x14ac:dyDescent="0.25">
      <c r="A273" s="1"/>
      <c r="B273" s="254"/>
      <c r="C273" s="259" t="s">
        <v>99</v>
      </c>
      <c r="D273" s="270">
        <v>1870</v>
      </c>
      <c r="E273" s="154"/>
      <c r="F273" s="225"/>
      <c r="G273" s="1"/>
      <c r="H273" s="1"/>
      <c r="I273" s="1"/>
      <c r="J273" s="123"/>
    </row>
    <row r="274" spans="1:10" ht="14.1" customHeight="1" x14ac:dyDescent="0.25">
      <c r="A274" s="1"/>
      <c r="B274" s="254"/>
      <c r="C274" s="248" t="s">
        <v>108</v>
      </c>
      <c r="D274" s="46">
        <v>5934</v>
      </c>
      <c r="E274" s="154"/>
      <c r="F274" s="225"/>
      <c r="G274" s="1"/>
      <c r="H274" s="1"/>
      <c r="I274" s="1"/>
      <c r="J274" s="123"/>
    </row>
    <row r="275" spans="1:10" ht="14.1" customHeight="1" x14ac:dyDescent="0.25">
      <c r="A275" s="1"/>
      <c r="B275" s="254"/>
      <c r="C275" s="248" t="s">
        <v>109</v>
      </c>
      <c r="D275" s="46">
        <v>5060</v>
      </c>
      <c r="E275" s="154"/>
      <c r="F275" s="225"/>
      <c r="G275" s="1"/>
      <c r="H275" s="1"/>
      <c r="I275" s="1"/>
      <c r="J275" s="123"/>
    </row>
    <row r="276" spans="1:10" ht="13.5" customHeight="1" x14ac:dyDescent="0.25">
      <c r="A276" s="1"/>
      <c r="B276" s="254"/>
      <c r="C276" s="248" t="s">
        <v>88</v>
      </c>
      <c r="D276" s="46">
        <v>382</v>
      </c>
      <c r="E276" s="154"/>
      <c r="F276" s="225"/>
      <c r="G276" s="1"/>
      <c r="H276" s="1"/>
      <c r="I276" s="1"/>
      <c r="J276" s="123"/>
    </row>
    <row r="277" spans="1:10" ht="14.25" customHeight="1" x14ac:dyDescent="0.25">
      <c r="A277" s="1"/>
      <c r="B277" s="254"/>
      <c r="C277" s="57" t="s">
        <v>57</v>
      </c>
      <c r="D277" s="35">
        <f>SUM(D273:D276)</f>
        <v>13246</v>
      </c>
      <c r="E277" s="154"/>
      <c r="F277" s="154"/>
      <c r="G277" s="1"/>
      <c r="H277" s="1"/>
      <c r="I277" s="1"/>
      <c r="J277" s="123"/>
    </row>
    <row r="278" spans="1:10" ht="14.1" customHeight="1" x14ac:dyDescent="0.25">
      <c r="A278" s="1"/>
      <c r="B278" s="254"/>
      <c r="C278" s="228" t="s">
        <v>110</v>
      </c>
      <c r="D278" s="229"/>
      <c r="E278" s="183"/>
      <c r="F278" s="183"/>
      <c r="G278" s="1"/>
      <c r="H278" s="1"/>
      <c r="I278" s="1"/>
      <c r="J278" s="123"/>
    </row>
    <row r="279" spans="1:10" ht="15" customHeight="1" x14ac:dyDescent="0.25">
      <c r="A279" s="1"/>
      <c r="B279" s="254"/>
      <c r="C279" s="101" t="s">
        <v>111</v>
      </c>
      <c r="D279" s="230"/>
      <c r="E279" s="1"/>
      <c r="F279" s="1"/>
      <c r="G279" s="1"/>
      <c r="H279" s="1"/>
      <c r="I279" s="1"/>
      <c r="J279" s="123"/>
    </row>
    <row r="280" spans="1:10" ht="14.25" customHeight="1" x14ac:dyDescent="0.25">
      <c r="A280" s="1"/>
      <c r="B280" s="254"/>
      <c r="C280" s="101" t="s">
        <v>112</v>
      </c>
      <c r="D280" s="1"/>
      <c r="E280" s="1"/>
      <c r="F280" s="1"/>
      <c r="G280" s="1"/>
      <c r="H280" s="1"/>
      <c r="I280" s="1"/>
      <c r="J280" s="123"/>
    </row>
    <row r="281" spans="1:10" ht="23.25" customHeight="1" x14ac:dyDescent="0.25">
      <c r="A281" s="1"/>
      <c r="B281" s="231"/>
      <c r="C281" s="234" t="s">
        <v>18</v>
      </c>
      <c r="D281" s="234"/>
      <c r="E281" s="234"/>
      <c r="F281" s="234"/>
      <c r="G281" s="234"/>
      <c r="H281" s="234"/>
      <c r="I281" s="234"/>
      <c r="J281" s="238"/>
    </row>
    <row r="282" spans="1:10" ht="14.1" customHeight="1" x14ac:dyDescent="0.25">
      <c r="A282" s="1"/>
      <c r="B282" s="240"/>
      <c r="C282" s="242"/>
      <c r="D282" s="242"/>
      <c r="E282" s="242"/>
      <c r="F282" s="242"/>
      <c r="G282" s="242"/>
      <c r="H282" s="242"/>
      <c r="I282" s="242"/>
      <c r="J282" s="123"/>
    </row>
    <row r="283" spans="1:10" ht="54" customHeight="1" x14ac:dyDescent="0.25">
      <c r="A283" s="1"/>
      <c r="B283" s="254"/>
      <c r="C283" s="68" t="s">
        <v>19</v>
      </c>
      <c r="D283" s="243" t="s">
        <v>3</v>
      </c>
      <c r="E283" s="68" t="s">
        <v>142</v>
      </c>
      <c r="F283" s="68" t="s">
        <v>143</v>
      </c>
      <c r="G283" s="68" t="s">
        <v>144</v>
      </c>
      <c r="H283" s="68" t="s">
        <v>145</v>
      </c>
      <c r="I283" s="1"/>
      <c r="J283" s="119"/>
    </row>
    <row r="284" spans="1:10" ht="14.1" customHeight="1" x14ac:dyDescent="0.25">
      <c r="A284" s="70"/>
      <c r="B284" s="82"/>
      <c r="C284" s="90" t="s">
        <v>113</v>
      </c>
      <c r="D284" s="10">
        <v>1865</v>
      </c>
      <c r="E284" s="124">
        <f>10.16539</f>
        <v>10.16539</v>
      </c>
      <c r="F284" s="124">
        <f>352.95937</f>
        <v>352.95936999999998</v>
      </c>
      <c r="G284" s="45">
        <f>D284-F284-F285</f>
        <v>-183.23541999999998</v>
      </c>
      <c r="H284" s="124">
        <f>471.75464</f>
        <v>471.75463999999999</v>
      </c>
      <c r="I284" s="70"/>
      <c r="J284" s="244"/>
    </row>
    <row r="285" spans="1:10" ht="14.1" customHeight="1" x14ac:dyDescent="0.25">
      <c r="A285" s="1"/>
      <c r="B285" s="254"/>
      <c r="C285" s="90" t="s">
        <v>114</v>
      </c>
      <c r="D285" s="221"/>
      <c r="E285" s="124">
        <f>50.02419</f>
        <v>50.024189999999997</v>
      </c>
      <c r="F285" s="124">
        <f>1695.27605</f>
        <v>1695.2760499999999</v>
      </c>
      <c r="G285" s="140"/>
      <c r="H285" s="124">
        <f>977.80134</f>
        <v>977.80133999999998</v>
      </c>
      <c r="I285" s="183"/>
      <c r="J285" s="119"/>
    </row>
    <row r="286" spans="1:10" ht="16.5" customHeight="1" x14ac:dyDescent="0.25">
      <c r="A286" s="70"/>
      <c r="B286" s="82"/>
      <c r="C286" s="146" t="s">
        <v>95</v>
      </c>
      <c r="D286" s="246">
        <v>5</v>
      </c>
      <c r="E286" s="168">
        <f>0</f>
        <v>0</v>
      </c>
      <c r="F286" s="168">
        <f>0.9702</f>
        <v>0.97019999999999995</v>
      </c>
      <c r="G286" s="124">
        <f>D286-F286</f>
        <v>4.0297999999999998</v>
      </c>
      <c r="H286" s="168">
        <f>1.389</f>
        <v>1.389</v>
      </c>
      <c r="I286" s="70"/>
      <c r="J286" s="249"/>
    </row>
    <row r="287" spans="1:10" ht="18.75" customHeight="1" x14ac:dyDescent="0.25">
      <c r="A287" s="70"/>
      <c r="B287" s="250"/>
      <c r="C287" s="146" t="s">
        <v>115</v>
      </c>
      <c r="D287" s="222"/>
      <c r="E287" s="168">
        <f>0</f>
        <v>0</v>
      </c>
      <c r="F287" s="168">
        <f>6.84606</f>
        <v>6.8460599999999996</v>
      </c>
      <c r="G287" s="124"/>
      <c r="H287" s="168">
        <f>2.83352</f>
        <v>2.83352</v>
      </c>
      <c r="I287" s="284"/>
      <c r="J287" s="123"/>
    </row>
    <row r="288" spans="1:10" ht="14.1" customHeight="1" x14ac:dyDescent="0.25">
      <c r="A288" s="1"/>
      <c r="B288" s="254"/>
      <c r="C288" s="179" t="s">
        <v>105</v>
      </c>
      <c r="D288" s="6">
        <f>D273</f>
        <v>1870</v>
      </c>
      <c r="E288" s="190">
        <f>SUM(E284:E287)</f>
        <v>60.189579999999999</v>
      </c>
      <c r="F288" s="190">
        <f>SUM(F284:F287)</f>
        <v>2056.05168</v>
      </c>
      <c r="G288" s="190">
        <f>D288-F288</f>
        <v>-186.05168000000003</v>
      </c>
      <c r="H288" s="190">
        <f>H284+H285+H286+H287</f>
        <v>1453.7784999999999</v>
      </c>
      <c r="I288" s="1"/>
      <c r="J288" s="123"/>
    </row>
    <row r="289" spans="1:10" ht="14.1" customHeight="1" x14ac:dyDescent="0.25">
      <c r="A289" s="1"/>
      <c r="B289" s="254"/>
      <c r="C289" s="21"/>
      <c r="D289" s="34"/>
      <c r="E289" s="34"/>
      <c r="F289" s="34"/>
      <c r="G289" s="34"/>
      <c r="H289" s="34"/>
      <c r="I289" s="1"/>
      <c r="J289" s="123"/>
    </row>
    <row r="290" spans="1:10" ht="14.1" customHeight="1" x14ac:dyDescent="0.25">
      <c r="A290" s="1"/>
      <c r="B290" s="169"/>
      <c r="C290" s="110"/>
      <c r="D290" s="110"/>
      <c r="E290" s="110"/>
      <c r="F290" s="110"/>
      <c r="G290" s="109"/>
      <c r="H290" s="110"/>
      <c r="I290" s="110"/>
      <c r="J290" s="121"/>
    </row>
    <row r="291" spans="1:10" ht="14.1" customHeight="1" x14ac:dyDescent="0.25">
      <c r="A291" s="1"/>
      <c r="C291" s="154" t="s">
        <v>141</v>
      </c>
    </row>
    <row r="292" spans="1:10" ht="14.1" customHeight="1" x14ac:dyDescent="0.25">
      <c r="A292" s="1" t="s">
        <v>141</v>
      </c>
    </row>
    <row r="293" spans="1:10" ht="14.1" customHeight="1" x14ac:dyDescent="0.25">
      <c r="A293" s="1" t="s">
        <v>141</v>
      </c>
    </row>
    <row r="294" spans="1:10" ht="14.1" customHeight="1" x14ac:dyDescent="0.25">
      <c r="A294" s="1"/>
      <c r="C294" s="154" t="s">
        <v>141</v>
      </c>
    </row>
    <row r="295" spans="1:10" ht="36" customHeight="1" x14ac:dyDescent="0.25">
      <c r="A295" s="1"/>
      <c r="C295" s="154" t="s">
        <v>141</v>
      </c>
    </row>
    <row r="296" spans="1:10" ht="14.1" customHeight="1" x14ac:dyDescent="0.25">
      <c r="A296" s="1"/>
      <c r="C296" s="154" t="s">
        <v>141</v>
      </c>
    </row>
    <row r="297" spans="1:10" ht="14.1" customHeight="1" x14ac:dyDescent="0.25">
      <c r="A297" s="1"/>
      <c r="C297" s="154" t="s">
        <v>141</v>
      </c>
    </row>
    <row r="298" spans="1:10" ht="30" customHeight="1" x14ac:dyDescent="0.35">
      <c r="A298" s="218"/>
      <c r="B298" s="1"/>
      <c r="C298" s="215" t="s">
        <v>116</v>
      </c>
      <c r="D298" s="161"/>
      <c r="E298" s="1"/>
      <c r="F298" s="1"/>
      <c r="G298" s="1"/>
      <c r="H298" s="1"/>
      <c r="I298" s="1"/>
      <c r="J298" s="1"/>
    </row>
    <row r="299" spans="1:10" ht="17.100000000000001" customHeight="1" x14ac:dyDescent="0.25">
      <c r="B299" s="127"/>
      <c r="C299" s="239"/>
      <c r="D299" s="239"/>
      <c r="E299" s="239"/>
      <c r="F299" s="239"/>
      <c r="G299" s="239"/>
      <c r="H299" s="239"/>
      <c r="I299" s="239"/>
      <c r="J299" s="62"/>
    </row>
    <row r="300" spans="1:10" ht="6" customHeight="1" x14ac:dyDescent="0.25">
      <c r="B300" s="75"/>
      <c r="C300" s="154"/>
      <c r="D300" s="154"/>
      <c r="E300" s="154"/>
      <c r="F300" s="154"/>
      <c r="G300" s="154"/>
      <c r="H300" s="154"/>
      <c r="I300" s="154"/>
      <c r="J300" s="133"/>
    </row>
    <row r="301" spans="1:10" ht="18" customHeight="1" x14ac:dyDescent="0.25">
      <c r="B301" s="75"/>
      <c r="C301" s="153" t="s">
        <v>2</v>
      </c>
      <c r="D301" s="189"/>
      <c r="E301" s="153" t="s">
        <v>117</v>
      </c>
      <c r="F301" s="189"/>
      <c r="G301" s="153" t="s">
        <v>118</v>
      </c>
      <c r="H301" s="189"/>
      <c r="I301" s="154"/>
      <c r="J301" s="133"/>
    </row>
    <row r="302" spans="1:10" ht="14.25" customHeight="1" x14ac:dyDescent="0.25">
      <c r="B302" s="75"/>
      <c r="C302" s="259" t="s">
        <v>99</v>
      </c>
      <c r="D302" s="270">
        <v>22619</v>
      </c>
      <c r="E302" s="252" t="s">
        <v>5</v>
      </c>
      <c r="F302" s="106">
        <v>9109</v>
      </c>
      <c r="G302" s="248" t="s">
        <v>23</v>
      </c>
      <c r="H302" s="46">
        <v>3000</v>
      </c>
      <c r="I302" s="154"/>
      <c r="J302" s="133"/>
    </row>
    <row r="303" spans="1:10" ht="14.25" customHeight="1" x14ac:dyDescent="0.25">
      <c r="B303" s="75"/>
      <c r="C303" s="248" t="s">
        <v>109</v>
      </c>
      <c r="D303" s="46">
        <v>16564</v>
      </c>
      <c r="E303" s="183" t="s">
        <v>114</v>
      </c>
      <c r="F303" s="49">
        <v>8000</v>
      </c>
      <c r="G303" s="248" t="s">
        <v>24</v>
      </c>
      <c r="H303" s="46">
        <v>781</v>
      </c>
      <c r="I303" s="154"/>
      <c r="J303" s="133"/>
    </row>
    <row r="304" spans="1:10" ht="14.25" customHeight="1" x14ac:dyDescent="0.25">
      <c r="B304" s="75"/>
      <c r="C304" s="248" t="s">
        <v>108</v>
      </c>
      <c r="D304" s="46">
        <v>5012</v>
      </c>
      <c r="E304" s="183" t="s">
        <v>70</v>
      </c>
      <c r="F304" s="49">
        <v>5500</v>
      </c>
      <c r="G304" s="248" t="s">
        <v>119</v>
      </c>
      <c r="H304" s="46">
        <v>4103</v>
      </c>
      <c r="I304" s="154"/>
      <c r="J304" s="133"/>
    </row>
    <row r="305" spans="1:10" ht="14.1" customHeight="1" x14ac:dyDescent="0.25">
      <c r="B305" s="75"/>
      <c r="C305" s="248"/>
      <c r="D305" s="46"/>
      <c r="E305" s="134"/>
      <c r="F305" s="149"/>
      <c r="G305" s="248" t="s">
        <v>120</v>
      </c>
      <c r="H305" s="46">
        <v>1225</v>
      </c>
      <c r="I305" s="154"/>
      <c r="J305" s="133"/>
    </row>
    <row r="306" spans="1:10" ht="14.1" customHeight="1" x14ac:dyDescent="0.25">
      <c r="B306" s="75"/>
      <c r="C306" s="57" t="s">
        <v>57</v>
      </c>
      <c r="D306" s="35">
        <v>44950</v>
      </c>
      <c r="E306" s="177" t="s">
        <v>121</v>
      </c>
      <c r="F306" s="35">
        <f>F302+F303+F304</f>
        <v>22609</v>
      </c>
      <c r="G306" s="57" t="s">
        <v>5</v>
      </c>
      <c r="H306" s="35">
        <f>SUM(H302:H305)</f>
        <v>9109</v>
      </c>
      <c r="I306" s="154"/>
      <c r="J306" s="133"/>
    </row>
    <row r="307" spans="1:10" ht="13.35" customHeight="1" x14ac:dyDescent="0.25">
      <c r="B307" s="75"/>
      <c r="C307" s="101" t="s">
        <v>122</v>
      </c>
      <c r="D307" s="183"/>
      <c r="E307" s="183"/>
      <c r="F307" s="183"/>
      <c r="G307" s="1"/>
      <c r="H307" s="183"/>
      <c r="I307" s="183"/>
      <c r="J307" s="244"/>
    </row>
    <row r="308" spans="1:10" ht="13.35" customHeight="1" x14ac:dyDescent="0.25">
      <c r="B308" s="75"/>
      <c r="C308" s="101" t="s">
        <v>123</v>
      </c>
      <c r="D308" s="1"/>
      <c r="E308" s="1"/>
      <c r="F308" s="1"/>
      <c r="G308" s="1"/>
      <c r="H308" s="1"/>
      <c r="I308" s="1"/>
      <c r="J308" s="123"/>
    </row>
    <row r="309" spans="1:10" ht="9.75" customHeight="1" x14ac:dyDescent="0.25">
      <c r="B309" s="75"/>
      <c r="C309" s="101"/>
      <c r="D309" s="1"/>
      <c r="E309" s="1"/>
      <c r="F309" s="1"/>
      <c r="G309" s="1"/>
      <c r="H309" s="1"/>
      <c r="I309" s="1"/>
      <c r="J309" s="123"/>
    </row>
    <row r="310" spans="1:10" ht="18" customHeight="1" x14ac:dyDescent="0.25">
      <c r="B310" s="75"/>
      <c r="C310" s="154"/>
      <c r="D310" s="154"/>
      <c r="E310" s="154"/>
      <c r="F310" s="154"/>
      <c r="G310" s="154"/>
      <c r="H310" s="154"/>
      <c r="I310" s="154"/>
      <c r="J310" s="133"/>
    </row>
    <row r="311" spans="1:10" ht="29.25" customHeight="1" x14ac:dyDescent="0.25">
      <c r="B311" s="231"/>
      <c r="C311" s="234" t="s">
        <v>18</v>
      </c>
      <c r="D311" s="234"/>
      <c r="E311" s="234"/>
      <c r="F311" s="234"/>
      <c r="G311" s="234"/>
      <c r="H311" s="234"/>
      <c r="I311" s="234"/>
      <c r="J311" s="238"/>
    </row>
    <row r="312" spans="1:10" ht="18.75" customHeight="1" x14ac:dyDescent="0.25">
      <c r="B312" s="203"/>
      <c r="C312" s="224"/>
      <c r="D312" s="224"/>
      <c r="E312" s="224"/>
      <c r="F312" s="224"/>
      <c r="G312" s="224"/>
      <c r="H312" s="224"/>
      <c r="I312" s="224"/>
      <c r="J312" s="13"/>
    </row>
    <row r="313" spans="1:10" ht="64.5" customHeight="1" x14ac:dyDescent="0.25">
      <c r="B313" s="75"/>
      <c r="C313" s="223" t="s">
        <v>19</v>
      </c>
      <c r="D313" s="232" t="s">
        <v>20</v>
      </c>
      <c r="E313" s="68" t="s">
        <v>124</v>
      </c>
      <c r="F313" s="223" t="s">
        <v>142</v>
      </c>
      <c r="G313" s="223" t="s">
        <v>143</v>
      </c>
      <c r="H313" s="223" t="s">
        <v>144</v>
      </c>
      <c r="I313" s="223" t="s">
        <v>145</v>
      </c>
      <c r="J313" s="133"/>
    </row>
    <row r="314" spans="1:10" ht="14.1" customHeight="1" x14ac:dyDescent="0.25">
      <c r="A314" s="218"/>
      <c r="B314" s="75"/>
      <c r="C314" s="247" t="s">
        <v>22</v>
      </c>
      <c r="D314" s="251">
        <f t="shared" ref="D314:I314" si="14">D318+D317+D316+D315</f>
        <v>9109</v>
      </c>
      <c r="E314" s="251">
        <f t="shared" si="14"/>
        <v>12104</v>
      </c>
      <c r="F314" s="253">
        <f t="shared" si="14"/>
        <v>1064.5982999999999</v>
      </c>
      <c r="G314" s="253">
        <f t="shared" si="14"/>
        <v>9613.9558699999998</v>
      </c>
      <c r="H314" s="253">
        <f>H318+H317+H316+H315</f>
        <v>2490.0441300000002</v>
      </c>
      <c r="I314" s="253">
        <f t="shared" si="14"/>
        <v>12643.735850000001</v>
      </c>
      <c r="J314" s="133"/>
    </row>
    <row r="315" spans="1:10" ht="14.1" customHeight="1" x14ac:dyDescent="0.25">
      <c r="A315" s="218"/>
      <c r="B315" s="75"/>
      <c r="C315" s="255" t="s">
        <v>125</v>
      </c>
      <c r="D315" s="256">
        <v>3000</v>
      </c>
      <c r="E315" s="256">
        <v>5258</v>
      </c>
      <c r="F315" s="257">
        <f>1012.4055</f>
        <v>1012.4055</v>
      </c>
      <c r="G315" s="257">
        <f>6633.60473</f>
        <v>6633.60473</v>
      </c>
      <c r="H315" s="257">
        <f t="shared" ref="H315:H319" si="15">E315-G315</f>
        <v>-1375.60473</v>
      </c>
      <c r="I315" s="257">
        <f>7768.21189</f>
        <v>7768.2118899999996</v>
      </c>
      <c r="J315" s="133"/>
    </row>
    <row r="316" spans="1:10" ht="14.1" customHeight="1" x14ac:dyDescent="0.25">
      <c r="A316" s="218"/>
      <c r="B316" s="75"/>
      <c r="C316" s="260" t="s">
        <v>24</v>
      </c>
      <c r="D316" s="256">
        <v>781</v>
      </c>
      <c r="E316" s="256">
        <v>1369</v>
      </c>
      <c r="F316" s="257">
        <f>0</f>
        <v>0</v>
      </c>
      <c r="G316" s="257">
        <f>564.91155</f>
        <v>564.91155000000003</v>
      </c>
      <c r="H316" s="257">
        <f t="shared" si="15"/>
        <v>804.08844999999997</v>
      </c>
      <c r="I316" s="257">
        <f>1066.7822</f>
        <v>1066.7822000000001</v>
      </c>
      <c r="J316" s="133"/>
    </row>
    <row r="317" spans="1:10" ht="14.1" customHeight="1" x14ac:dyDescent="0.25">
      <c r="A317" s="218"/>
      <c r="B317" s="75"/>
      <c r="C317" s="260" t="s">
        <v>120</v>
      </c>
      <c r="D317" s="256">
        <v>1225</v>
      </c>
      <c r="E317" s="256">
        <v>1283</v>
      </c>
      <c r="F317" s="257">
        <f>9.06</f>
        <v>9.06</v>
      </c>
      <c r="G317" s="257">
        <f>1551.71179</f>
        <v>1551.7117900000001</v>
      </c>
      <c r="H317" s="257">
        <f t="shared" si="15"/>
        <v>-268.71179000000006</v>
      </c>
      <c r="I317" s="257">
        <f>1449.30171</f>
        <v>1449.30171</v>
      </c>
      <c r="J317" s="133"/>
    </row>
    <row r="318" spans="1:10" ht="14.1" customHeight="1" x14ac:dyDescent="0.25">
      <c r="A318" s="218"/>
      <c r="B318" s="75"/>
      <c r="C318" s="262" t="s">
        <v>126</v>
      </c>
      <c r="D318" s="263">
        <v>4103</v>
      </c>
      <c r="E318" s="263">
        <v>4194</v>
      </c>
      <c r="F318" s="257">
        <f>43.1328</f>
        <v>43.132800000000003</v>
      </c>
      <c r="G318" s="257">
        <f>863.7278</f>
        <v>863.7278</v>
      </c>
      <c r="H318" s="257">
        <f t="shared" si="15"/>
        <v>3330.2721999999999</v>
      </c>
      <c r="I318" s="257">
        <f>2359.44005</f>
        <v>2359.4400500000002</v>
      </c>
      <c r="J318" s="133"/>
    </row>
    <row r="319" spans="1:10" ht="14.1" customHeight="1" x14ac:dyDescent="0.25">
      <c r="A319" s="218"/>
      <c r="B319" s="75"/>
      <c r="C319" s="265" t="s">
        <v>70</v>
      </c>
      <c r="D319" s="266">
        <v>5500</v>
      </c>
      <c r="E319" s="266">
        <v>5500</v>
      </c>
      <c r="F319" s="268">
        <f>14.28592</f>
        <v>14.285920000000001</v>
      </c>
      <c r="G319" s="268">
        <f>4562.7196</f>
        <v>4562.7196000000004</v>
      </c>
      <c r="H319" s="268">
        <f t="shared" si="15"/>
        <v>937.28039999999964</v>
      </c>
      <c r="I319" s="268">
        <f>2203.21413</f>
        <v>2203.2141299999998</v>
      </c>
      <c r="J319" s="133"/>
    </row>
    <row r="320" spans="1:10" ht="14.1" customHeight="1" x14ac:dyDescent="0.25">
      <c r="A320" s="218"/>
      <c r="B320" s="75"/>
      <c r="C320" s="247" t="s">
        <v>25</v>
      </c>
      <c r="D320" s="251">
        <v>8000</v>
      </c>
      <c r="E320" s="251">
        <v>8000</v>
      </c>
      <c r="F320" s="269">
        <f>F322+F321</f>
        <v>123.66887</v>
      </c>
      <c r="G320" s="269">
        <f>G322+G321</f>
        <v>4420.5439699999997</v>
      </c>
      <c r="H320" s="269">
        <f>E320-G320</f>
        <v>3579.4560300000003</v>
      </c>
      <c r="I320" s="269">
        <f>I322+I321</f>
        <v>2900.2436600000001</v>
      </c>
      <c r="J320" s="133"/>
    </row>
    <row r="321" spans="1:10" ht="14.1" customHeight="1" x14ac:dyDescent="0.25">
      <c r="A321" s="218"/>
      <c r="B321" s="75"/>
      <c r="C321" s="260" t="s">
        <v>62</v>
      </c>
      <c r="D321" s="271"/>
      <c r="E321" s="256"/>
      <c r="F321" s="257">
        <f>8.76015</f>
        <v>8.7601499999999994</v>
      </c>
      <c r="G321" s="257">
        <f>1269.99815</f>
        <v>1269.9981499999999</v>
      </c>
      <c r="H321" s="257"/>
      <c r="I321" s="257">
        <f>13.22733</f>
        <v>13.22733</v>
      </c>
      <c r="J321" s="133"/>
    </row>
    <row r="322" spans="1:10" ht="14.1" customHeight="1" x14ac:dyDescent="0.25">
      <c r="A322" s="218"/>
      <c r="B322" s="75"/>
      <c r="C322" s="273" t="s">
        <v>127</v>
      </c>
      <c r="D322" s="274"/>
      <c r="E322" s="277"/>
      <c r="F322" s="278">
        <f>114.90872</f>
        <v>114.90872</v>
      </c>
      <c r="G322" s="278">
        <f>3150.54582</f>
        <v>3150.5458199999998</v>
      </c>
      <c r="H322" s="278"/>
      <c r="I322" s="278">
        <f>2887.01633</f>
        <v>2887.0163299999999</v>
      </c>
      <c r="J322" s="133"/>
    </row>
    <row r="323" spans="1:10" ht="14.1" customHeight="1" x14ac:dyDescent="0.25">
      <c r="A323" s="218"/>
      <c r="B323" s="75"/>
      <c r="C323" s="265" t="s">
        <v>37</v>
      </c>
      <c r="D323" s="266">
        <v>10</v>
      </c>
      <c r="E323" s="266">
        <v>10</v>
      </c>
      <c r="F323" s="268">
        <f>0</f>
        <v>0</v>
      </c>
      <c r="G323" s="268">
        <f>0.4293</f>
        <v>0.42930000000000001</v>
      </c>
      <c r="H323" s="268">
        <f>E323-G323</f>
        <v>9.5707000000000004</v>
      </c>
      <c r="I323" s="268">
        <f>0.3915</f>
        <v>0.39150000000000001</v>
      </c>
      <c r="J323" s="133"/>
    </row>
    <row r="324" spans="1:10" ht="14.1" customHeight="1" x14ac:dyDescent="0.25">
      <c r="A324" s="218"/>
      <c r="B324" s="75"/>
      <c r="C324" s="279" t="s">
        <v>128</v>
      </c>
      <c r="D324" s="282"/>
      <c r="E324" s="283"/>
      <c r="F324" s="268">
        <f>1.19412</f>
        <v>1.1941200000000001</v>
      </c>
      <c r="G324" s="268">
        <f>236.90332</f>
        <v>236.90332000000001</v>
      </c>
      <c r="H324" s="268">
        <f>E324-G324</f>
        <v>-236.90332000000001</v>
      </c>
      <c r="I324" s="268">
        <f>31.00836</f>
        <v>31.00836</v>
      </c>
      <c r="J324" s="133"/>
    </row>
    <row r="325" spans="1:10" ht="19.5" customHeight="1" x14ac:dyDescent="0.25">
      <c r="A325" s="218"/>
      <c r="B325" s="75"/>
      <c r="C325" s="285" t="s">
        <v>44</v>
      </c>
      <c r="D325" s="286">
        <f>D314+D319+D320+D323+D324</f>
        <v>22619</v>
      </c>
      <c r="E325" s="286">
        <f>E314+E319+E320+E323+E324</f>
        <v>25614</v>
      </c>
      <c r="F325" s="287">
        <f t="shared" ref="F325:I325" si="16">F314+F319+F320+F323+F324</f>
        <v>1203.74721</v>
      </c>
      <c r="G325" s="287">
        <f t="shared" si="16"/>
        <v>18834.552060000002</v>
      </c>
      <c r="H325" s="287">
        <f>H314+H319+H320+H323+H324</f>
        <v>6779.44794</v>
      </c>
      <c r="I325" s="287">
        <f t="shared" si="16"/>
        <v>17778.593500000003</v>
      </c>
      <c r="J325" s="133"/>
    </row>
    <row r="326" spans="1:10" ht="14.1" customHeight="1" x14ac:dyDescent="0.25">
      <c r="A326" s="218"/>
      <c r="B326" s="75"/>
      <c r="C326" s="165" t="s">
        <v>129</v>
      </c>
      <c r="D326" s="289"/>
      <c r="E326" s="289"/>
      <c r="F326" s="4"/>
      <c r="G326" s="4"/>
      <c r="H326" s="5"/>
      <c r="I326" s="5"/>
      <c r="J326" s="133"/>
    </row>
    <row r="327" spans="1:10" ht="14.1" customHeight="1" x14ac:dyDescent="0.25">
      <c r="A327" s="218"/>
      <c r="B327" s="75"/>
      <c r="C327" s="101" t="s">
        <v>130</v>
      </c>
      <c r="D327" s="289"/>
      <c r="E327" s="289"/>
      <c r="F327" s="4"/>
      <c r="G327" s="4"/>
      <c r="H327" s="7"/>
      <c r="I327" s="5"/>
      <c r="J327" s="133"/>
    </row>
    <row r="328" spans="1:10" ht="14.1" customHeight="1" x14ac:dyDescent="0.25">
      <c r="A328" s="218"/>
      <c r="B328" s="75"/>
      <c r="C328" s="101" t="s">
        <v>131</v>
      </c>
      <c r="D328" s="289"/>
      <c r="E328" s="289"/>
      <c r="F328" s="4"/>
      <c r="G328" s="4"/>
      <c r="H328" s="5"/>
      <c r="I328" s="7"/>
      <c r="J328" s="133"/>
    </row>
    <row r="329" spans="1:10" ht="15.75" customHeight="1" x14ac:dyDescent="0.25">
      <c r="A329" s="218"/>
      <c r="B329" s="8"/>
      <c r="C329" s="9"/>
      <c r="D329" s="110"/>
      <c r="E329" s="110"/>
      <c r="F329" s="110"/>
      <c r="G329" s="110"/>
      <c r="H329" s="110"/>
      <c r="I329" s="110"/>
      <c r="J329" s="12"/>
    </row>
    <row r="330" spans="1:10" ht="15.75" customHeight="1" x14ac:dyDescent="0.25">
      <c r="A330" s="218"/>
      <c r="B330" s="154" t="s">
        <v>141</v>
      </c>
      <c r="C330" s="14"/>
      <c r="D330" s="1"/>
      <c r="E330" s="1"/>
      <c r="F330" s="1"/>
      <c r="G330" s="1"/>
      <c r="H330" s="1"/>
      <c r="I330" s="1"/>
      <c r="J330" s="154"/>
    </row>
    <row r="331" spans="1:10" ht="15.75" customHeight="1" x14ac:dyDescent="0.25">
      <c r="A331" s="218"/>
      <c r="B331" s="154" t="s">
        <v>141</v>
      </c>
      <c r="C331" s="14"/>
      <c r="D331" s="1"/>
      <c r="E331" s="1"/>
      <c r="F331" s="1"/>
      <c r="G331" s="1"/>
      <c r="H331" s="1"/>
      <c r="I331" s="1"/>
      <c r="J331" s="154"/>
    </row>
    <row r="332" spans="1:10" ht="14.1" customHeight="1" x14ac:dyDescent="0.25">
      <c r="A332" s="218"/>
      <c r="C332" s="154" t="s">
        <v>141</v>
      </c>
      <c r="D332" s="161"/>
    </row>
    <row r="333" spans="1:10" ht="14.1" customHeight="1" x14ac:dyDescent="0.25">
      <c r="A333" s="218"/>
      <c r="B333" s="127"/>
      <c r="C333" s="239"/>
      <c r="D333" s="17"/>
      <c r="E333" s="239"/>
      <c r="F333" s="239"/>
      <c r="G333" s="239"/>
      <c r="H333" s="239"/>
      <c r="I333" s="239"/>
      <c r="J333" s="62"/>
    </row>
    <row r="334" spans="1:10" ht="14.1" customHeight="1" x14ac:dyDescent="0.25">
      <c r="A334" s="218"/>
      <c r="B334" s="75"/>
      <c r="C334" s="219" t="s">
        <v>132</v>
      </c>
      <c r="D334" s="161"/>
      <c r="E334" s="154"/>
      <c r="G334" s="154"/>
      <c r="H334" s="154"/>
      <c r="I334" s="154"/>
      <c r="J334" s="133"/>
    </row>
    <row r="335" spans="1:10" ht="14.1" customHeight="1" x14ac:dyDescent="0.25">
      <c r="A335" s="218"/>
      <c r="B335" s="75"/>
      <c r="C335" s="154"/>
      <c r="D335" s="161"/>
      <c r="E335" s="154"/>
      <c r="G335" s="154"/>
      <c r="H335" s="154"/>
      <c r="I335" s="154"/>
      <c r="J335" s="133"/>
    </row>
    <row r="336" spans="1:10" ht="14.1" customHeight="1" x14ac:dyDescent="0.25">
      <c r="A336" s="218"/>
      <c r="B336" s="75"/>
      <c r="C336" s="153" t="s">
        <v>133</v>
      </c>
      <c r="D336" s="189"/>
      <c r="E336" s="154"/>
      <c r="F336" s="154"/>
      <c r="G336" s="154"/>
      <c r="H336" s="154"/>
      <c r="I336" s="154"/>
      <c r="J336" s="133"/>
    </row>
    <row r="337" spans="1:10" ht="14.1" customHeight="1" x14ac:dyDescent="0.25">
      <c r="A337" s="218"/>
      <c r="B337" s="75"/>
      <c r="C337" s="259" t="s">
        <v>99</v>
      </c>
      <c r="D337" s="270">
        <v>4506</v>
      </c>
      <c r="E337" s="154"/>
      <c r="F337" s="154"/>
      <c r="G337" s="154"/>
      <c r="H337" s="154"/>
      <c r="I337" s="154"/>
      <c r="J337" s="133"/>
    </row>
    <row r="338" spans="1:10" ht="14.1" customHeight="1" x14ac:dyDescent="0.25">
      <c r="A338" s="218"/>
      <c r="B338" s="75"/>
      <c r="C338" s="248" t="s">
        <v>109</v>
      </c>
      <c r="D338" s="46">
        <v>3083</v>
      </c>
      <c r="E338" s="154"/>
      <c r="G338" s="154"/>
      <c r="H338" s="154"/>
      <c r="I338" s="154"/>
      <c r="J338" s="133"/>
    </row>
    <row r="339" spans="1:10" ht="14.1" customHeight="1" x14ac:dyDescent="0.25">
      <c r="A339" s="218"/>
      <c r="B339" s="75"/>
      <c r="C339" s="248" t="s">
        <v>88</v>
      </c>
      <c r="D339" s="46">
        <v>123</v>
      </c>
      <c r="E339" s="154"/>
      <c r="F339" s="154"/>
      <c r="G339" s="154"/>
      <c r="H339" s="154"/>
      <c r="I339" s="154"/>
      <c r="J339" s="133"/>
    </row>
    <row r="340" spans="1:10" ht="14.1" customHeight="1" x14ac:dyDescent="0.25">
      <c r="A340" s="218"/>
      <c r="B340" s="75"/>
      <c r="C340" s="57" t="s">
        <v>57</v>
      </c>
      <c r="D340" s="35">
        <v>7712</v>
      </c>
      <c r="E340" s="154"/>
      <c r="F340" s="154"/>
      <c r="G340" s="154"/>
      <c r="H340" s="154"/>
      <c r="I340" s="154"/>
      <c r="J340" s="133"/>
    </row>
    <row r="341" spans="1:10" ht="14.1" customHeight="1" x14ac:dyDescent="0.25">
      <c r="A341" s="218"/>
      <c r="B341" s="75"/>
      <c r="C341" s="228" t="s">
        <v>134</v>
      </c>
      <c r="D341" s="149"/>
      <c r="E341" s="154"/>
      <c r="F341" s="154"/>
      <c r="G341" s="154"/>
      <c r="H341" s="154"/>
      <c r="I341" s="154"/>
      <c r="J341" s="133"/>
    </row>
    <row r="342" spans="1:10" ht="14.1" customHeight="1" x14ac:dyDescent="0.25">
      <c r="A342" s="218"/>
      <c r="B342" s="75"/>
      <c r="C342" s="101" t="s">
        <v>135</v>
      </c>
      <c r="D342" s="134"/>
      <c r="E342" s="154"/>
      <c r="F342" s="154"/>
      <c r="G342" s="154"/>
      <c r="H342" s="154"/>
      <c r="I342" s="154"/>
      <c r="J342" s="133"/>
    </row>
    <row r="343" spans="1:10" ht="14.1" customHeight="1" x14ac:dyDescent="0.25">
      <c r="A343" s="218"/>
      <c r="B343" s="75"/>
      <c r="C343" s="154"/>
      <c r="D343" s="161"/>
      <c r="E343" s="154"/>
      <c r="F343" s="154"/>
      <c r="G343" s="154"/>
      <c r="H343" s="154"/>
      <c r="I343" s="154"/>
      <c r="J343" s="133"/>
    </row>
    <row r="344" spans="1:10" ht="14.1" customHeight="1" x14ac:dyDescent="0.25">
      <c r="A344" s="218"/>
      <c r="B344" s="75"/>
      <c r="C344" s="154"/>
      <c r="D344" s="154"/>
      <c r="E344" s="154"/>
      <c r="F344" s="154"/>
      <c r="G344" s="154"/>
      <c r="H344" s="154"/>
      <c r="I344" s="154"/>
      <c r="J344" s="133"/>
    </row>
    <row r="345" spans="1:10" ht="29.25" customHeight="1" x14ac:dyDescent="0.25">
      <c r="A345" s="218"/>
      <c r="B345" s="231"/>
      <c r="C345" s="234" t="s">
        <v>18</v>
      </c>
      <c r="D345" s="234"/>
      <c r="E345" s="234"/>
      <c r="F345" s="234"/>
      <c r="G345" s="234"/>
      <c r="H345" s="234"/>
      <c r="I345" s="234"/>
      <c r="J345" s="238"/>
    </row>
    <row r="346" spans="1:10" ht="78" customHeight="1" x14ac:dyDescent="0.25">
      <c r="A346" s="218"/>
      <c r="B346" s="203"/>
      <c r="C346" s="20" t="s">
        <v>136</v>
      </c>
      <c r="D346" s="22" t="s">
        <v>137</v>
      </c>
      <c r="E346" s="20" t="s">
        <v>142</v>
      </c>
      <c r="F346" s="20" t="s">
        <v>143</v>
      </c>
      <c r="G346" s="25" t="s">
        <v>144</v>
      </c>
      <c r="H346" s="20" t="s">
        <v>145</v>
      </c>
      <c r="I346" s="224"/>
      <c r="J346" s="13"/>
    </row>
    <row r="347" spans="1:10" ht="14.1" customHeight="1" x14ac:dyDescent="0.25">
      <c r="A347" s="218"/>
      <c r="B347" s="75"/>
      <c r="C347" s="265" t="s">
        <v>138</v>
      </c>
      <c r="D347" s="10">
        <v>1386</v>
      </c>
      <c r="E347" s="26">
        <f>E349+E348</f>
        <v>0</v>
      </c>
      <c r="F347" s="26">
        <f>F349+F348</f>
        <v>1386.9813300000001</v>
      </c>
      <c r="G347" s="88">
        <f>D347-F347</f>
        <v>-0.98133000000007087</v>
      </c>
      <c r="H347" s="26">
        <f>SUM(H348:H349)</f>
        <v>1809.92166</v>
      </c>
      <c r="I347" s="27"/>
      <c r="J347" s="133"/>
    </row>
    <row r="348" spans="1:10" ht="14.1" customHeight="1" x14ac:dyDescent="0.25">
      <c r="A348" s="218"/>
      <c r="B348" s="75"/>
      <c r="C348" s="29" t="s">
        <v>9</v>
      </c>
      <c r="D348" s="208"/>
      <c r="E348" s="209">
        <f>0</f>
        <v>0</v>
      </c>
      <c r="F348" s="209">
        <f>1081.99515</f>
        <v>1081.99515</v>
      </c>
      <c r="G348" s="210"/>
      <c r="H348" s="209">
        <f>1503.67411</f>
        <v>1503.6741099999999</v>
      </c>
      <c r="I348" s="154"/>
      <c r="J348" s="133"/>
    </row>
    <row r="349" spans="1:10" ht="14.1" customHeight="1" x14ac:dyDescent="0.25">
      <c r="A349" s="218"/>
      <c r="B349" s="75"/>
      <c r="C349" s="29" t="s">
        <v>12</v>
      </c>
      <c r="D349" s="211"/>
      <c r="E349" s="213">
        <f>0</f>
        <v>0</v>
      </c>
      <c r="F349" s="213">
        <f>304.98618</f>
        <v>304.98617999999999</v>
      </c>
      <c r="G349" s="214"/>
      <c r="H349" s="213">
        <f>306.24755</f>
        <v>306.24754999999999</v>
      </c>
      <c r="I349" s="154"/>
      <c r="J349" s="133"/>
    </row>
    <row r="350" spans="1:10" ht="14.1" customHeight="1" x14ac:dyDescent="0.25">
      <c r="A350" s="218"/>
      <c r="B350" s="75"/>
      <c r="C350" s="265" t="s">
        <v>139</v>
      </c>
      <c r="D350" s="10">
        <v>1560</v>
      </c>
      <c r="E350" s="26">
        <f>SUM(E351:E352)</f>
        <v>0</v>
      </c>
      <c r="F350" s="26">
        <f>SUM(F351:F352)</f>
        <v>1810.1478699999998</v>
      </c>
      <c r="G350" s="88">
        <f>D350-F350</f>
        <v>-250.14786999999978</v>
      </c>
      <c r="H350" s="26">
        <f>SUM(H351:H352)</f>
        <v>1302.9703000000002</v>
      </c>
      <c r="I350" s="27"/>
      <c r="J350" s="133"/>
    </row>
    <row r="351" spans="1:10" ht="14.1" customHeight="1" x14ac:dyDescent="0.25">
      <c r="A351" s="218"/>
      <c r="B351" s="75"/>
      <c r="C351" s="29" t="s">
        <v>9</v>
      </c>
      <c r="D351" s="44"/>
      <c r="E351" s="30">
        <f>0</f>
        <v>0</v>
      </c>
      <c r="F351" s="30">
        <f>1412.5149</f>
        <v>1412.5148999999999</v>
      </c>
      <c r="G351" s="100"/>
      <c r="H351" s="30">
        <f>1057.0956</f>
        <v>1057.0956000000001</v>
      </c>
      <c r="I351" s="154"/>
      <c r="J351" s="133"/>
    </row>
    <row r="352" spans="1:10" ht="14.1" customHeight="1" x14ac:dyDescent="0.25">
      <c r="A352" s="218"/>
      <c r="B352" s="75"/>
      <c r="C352" s="29" t="s">
        <v>12</v>
      </c>
      <c r="D352" s="221"/>
      <c r="E352" s="30">
        <f>0</f>
        <v>0</v>
      </c>
      <c r="F352" s="30">
        <f>397.63297</f>
        <v>397.63297</v>
      </c>
      <c r="G352" s="111"/>
      <c r="H352" s="30">
        <f>245.8747</f>
        <v>245.87469999999999</v>
      </c>
      <c r="I352" s="154"/>
      <c r="J352" s="133"/>
    </row>
    <row r="353" spans="1:10" ht="14.1" customHeight="1" x14ac:dyDescent="0.25">
      <c r="A353" s="218"/>
      <c r="B353" s="75"/>
      <c r="C353" s="265" t="s">
        <v>140</v>
      </c>
      <c r="D353" s="10">
        <v>1560</v>
      </c>
      <c r="E353" s="36">
        <f>SUM(E354:E355)</f>
        <v>56.383499999999998</v>
      </c>
      <c r="F353" s="36">
        <f>SUM(F354:F355)</f>
        <v>523.88721999999996</v>
      </c>
      <c r="G353" s="88">
        <f>D353-F353</f>
        <v>1036.1127799999999</v>
      </c>
      <c r="H353" s="36">
        <f>SUM(H354:H355)</f>
        <v>455.44510000000002</v>
      </c>
      <c r="I353" s="154"/>
      <c r="J353" s="133"/>
    </row>
    <row r="354" spans="1:10" ht="14.1" customHeight="1" x14ac:dyDescent="0.25">
      <c r="A354" s="218"/>
      <c r="B354" s="75"/>
      <c r="C354" s="29" t="s">
        <v>9</v>
      </c>
      <c r="D354" s="44"/>
      <c r="E354" s="30">
        <f>42.716</f>
        <v>42.716000000000001</v>
      </c>
      <c r="F354" s="30">
        <f>423.54348</f>
        <v>423.54347999999999</v>
      </c>
      <c r="G354" s="100"/>
      <c r="H354" s="30">
        <f>391.72012</f>
        <v>391.72012000000001</v>
      </c>
      <c r="I354" s="154"/>
      <c r="J354" s="133"/>
    </row>
    <row r="355" spans="1:10" ht="14.1" customHeight="1" x14ac:dyDescent="0.25">
      <c r="A355" s="218"/>
      <c r="B355" s="75"/>
      <c r="C355" s="29" t="s">
        <v>12</v>
      </c>
      <c r="D355" s="221"/>
      <c r="E355" s="30">
        <f>13.6675</f>
        <v>13.6675</v>
      </c>
      <c r="F355" s="30">
        <f>100.34374</f>
        <v>100.34374</v>
      </c>
      <c r="G355" s="111"/>
      <c r="H355" s="30">
        <f>63.72498</f>
        <v>63.724980000000002</v>
      </c>
      <c r="I355" s="154"/>
      <c r="J355" s="133"/>
    </row>
    <row r="356" spans="1:10" ht="14.1" customHeight="1" x14ac:dyDescent="0.25">
      <c r="A356" s="218"/>
      <c r="B356" s="75"/>
      <c r="C356" s="279" t="s">
        <v>115</v>
      </c>
      <c r="D356" s="37"/>
      <c r="E356" s="39"/>
      <c r="F356" s="39"/>
      <c r="G356" s="40"/>
      <c r="H356" s="39"/>
      <c r="I356" s="154"/>
      <c r="J356" s="133"/>
    </row>
    <row r="357" spans="1:10" ht="14.1" customHeight="1" x14ac:dyDescent="0.25">
      <c r="A357" s="218"/>
      <c r="B357" s="75"/>
      <c r="C357" s="285" t="s">
        <v>105</v>
      </c>
      <c r="D357" s="41">
        <f>D347+D350+D353</f>
        <v>4506</v>
      </c>
      <c r="E357" s="42">
        <f>E347+E350+E353+E356</f>
        <v>56.383499999999998</v>
      </c>
      <c r="F357" s="42">
        <f>F347+F350+F353+F356</f>
        <v>3721.0164199999999</v>
      </c>
      <c r="G357" s="43">
        <f>SUM(G347:G356)</f>
        <v>784.98358000000007</v>
      </c>
      <c r="H357" s="42">
        <f>H347+H350+H353+H356</f>
        <v>3568.3370599999998</v>
      </c>
      <c r="I357" s="27"/>
      <c r="J357" s="133"/>
    </row>
    <row r="358" spans="1:10" ht="14.1" customHeight="1" x14ac:dyDescent="0.25">
      <c r="A358" s="218"/>
      <c r="B358" s="75"/>
      <c r="C358" s="154"/>
      <c r="D358" s="161"/>
      <c r="E358" s="154"/>
      <c r="F358" s="154"/>
      <c r="G358" s="154"/>
      <c r="H358" s="154"/>
      <c r="I358" s="154"/>
      <c r="J358" s="133"/>
    </row>
    <row r="359" spans="1:10" ht="14.1" customHeight="1" x14ac:dyDescent="0.25">
      <c r="A359" s="218"/>
      <c r="B359" s="8"/>
      <c r="C359" s="212"/>
      <c r="D359" s="204"/>
      <c r="E359" s="212"/>
      <c r="F359" s="212"/>
      <c r="G359" s="212"/>
      <c r="H359" s="212"/>
      <c r="I359" s="212"/>
      <c r="J359" s="12"/>
    </row>
    <row r="360" spans="1:10" ht="0" hidden="1" customHeight="1" x14ac:dyDescent="0.25"/>
    <row r="361" spans="1:10" ht="0" hidden="1" customHeight="1" x14ac:dyDescent="0.25"/>
    <row r="362" spans="1:10" ht="0" hidden="1" customHeight="1" x14ac:dyDescent="0.25"/>
    <row r="363" spans="1:10" ht="0" hidden="1" customHeight="1" x14ac:dyDescent="0.25"/>
    <row r="364" spans="1:10" ht="0" hidden="1" customHeight="1" x14ac:dyDescent="0.25"/>
    <row r="365" spans="1:10" ht="0" hidden="1" customHeight="1" x14ac:dyDescent="0.25"/>
    <row r="366" spans="1:10" ht="0" hidden="1" customHeight="1" x14ac:dyDescent="0.25"/>
    <row r="367" spans="1:10" ht="0" hidden="1" customHeight="1" x14ac:dyDescent="0.25"/>
    <row r="368" spans="1:10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0" hidden="1" customHeight="1" x14ac:dyDescent="0.25"/>
    <row r="65519" ht="0" hidden="1" customHeight="1" x14ac:dyDescent="0.25"/>
    <row r="65520" ht="0" hidden="1" customHeight="1" x14ac:dyDescent="0.25"/>
    <row r="65521" ht="0" hidden="1" customHeight="1" x14ac:dyDescent="0.25"/>
    <row r="65522" ht="0" hidden="1" customHeight="1" x14ac:dyDescent="0.25"/>
    <row r="65523" ht="0" hidden="1" customHeight="1" x14ac:dyDescent="0.25"/>
    <row r="65524" ht="0" hidden="1" customHeight="1" x14ac:dyDescent="0.25"/>
    <row r="65525" ht="0" hidden="1" customHeight="1" x14ac:dyDescent="0.25"/>
    <row r="65526" ht="0" hidden="1" customHeight="1" x14ac:dyDescent="0.25"/>
    <row r="65527" ht="0" hidden="1" customHeight="1" x14ac:dyDescent="0.25"/>
    <row r="65528" ht="0" hidden="1" customHeight="1" x14ac:dyDescent="0.25"/>
    <row r="65529" ht="0" hidden="1" customHeight="1" x14ac:dyDescent="0.25"/>
    <row r="65530" ht="0" hidden="1" customHeight="1" x14ac:dyDescent="0.25"/>
    <row r="65531" ht="0" hidden="1" customHeight="1" x14ac:dyDescent="0.25"/>
    <row r="65532" ht="0" hidden="1" customHeight="1" x14ac:dyDescent="0.25"/>
    <row r="65533" ht="0" hidden="1" customHeight="1" x14ac:dyDescent="0.25"/>
    <row r="65534" ht="0" hidden="1" customHeight="1" x14ac:dyDescent="0.25"/>
    <row r="65535" ht="0" hidden="1" customHeight="1" x14ac:dyDescent="0.25"/>
    <row r="65536" ht="0" hidden="1" customHeight="1" x14ac:dyDescent="0.25"/>
    <row r="65537" ht="0" hidden="1" customHeight="1" x14ac:dyDescent="0.25"/>
    <row r="65538" ht="0" hidden="1" customHeight="1" x14ac:dyDescent="0.25"/>
    <row r="65539" ht="0" hidden="1" customHeight="1" x14ac:dyDescent="0.25"/>
    <row r="65540" ht="0" hidden="1" customHeight="1" x14ac:dyDescent="0.25"/>
    <row r="65541" ht="0" hidden="1" customHeight="1" x14ac:dyDescent="0.25"/>
    <row r="65542" ht="0" hidden="1" customHeight="1" x14ac:dyDescent="0.25"/>
    <row r="65543" ht="0" hidden="1" customHeight="1" x14ac:dyDescent="0.25"/>
    <row r="65544" ht="16.5" customHeight="1" x14ac:dyDescent="0.25"/>
  </sheetData>
  <mergeCells count="11">
    <mergeCell ref="B2:J2"/>
    <mergeCell ref="B9:J9"/>
    <mergeCell ref="C11:D11"/>
    <mergeCell ref="E11:F11"/>
    <mergeCell ref="G11:H11"/>
    <mergeCell ref="C53:H53"/>
    <mergeCell ref="D56:D60"/>
    <mergeCell ref="G56:G60"/>
    <mergeCell ref="C106:D106"/>
    <mergeCell ref="E106:F106"/>
    <mergeCell ref="G106:H106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Footer>&amp;L&amp;8Fiskeridirektoratet&amp;C&amp;8Reguleringsseksjonen&amp;R&amp;8Amund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UKE_41_2022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2022-08-03T07:21:44Z</cp:lastPrinted>
  <dcterms:created xsi:type="dcterms:W3CDTF">2022-08-01T13:23:35Z</dcterms:created>
  <dcterms:modified xsi:type="dcterms:W3CDTF">2022-10-19T10:39:27Z</dcterms:modified>
</cp:coreProperties>
</file>