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4524016A-6C9B-4EFE-A084-832FBBF995EC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G345" i="1"/>
  <c r="F345" i="1"/>
  <c r="E345" i="1"/>
  <c r="D345" i="1"/>
  <c r="G344" i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D273" i="1"/>
  <c r="I272" i="1"/>
  <c r="G272" i="1"/>
  <c r="H272" i="1" s="1"/>
  <c r="F272" i="1"/>
  <c r="I271" i="1"/>
  <c r="H271" i="1"/>
  <c r="G271" i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H266" i="1"/>
  <c r="G266" i="1"/>
  <c r="F266" i="1"/>
  <c r="I265" i="1"/>
  <c r="I262" i="1" s="1"/>
  <c r="I273" i="1" s="1"/>
  <c r="G265" i="1"/>
  <c r="G262" i="1" s="1"/>
  <c r="G273" i="1" s="1"/>
  <c r="F265" i="1"/>
  <c r="F262" i="1" s="1"/>
  <c r="F273" i="1" s="1"/>
  <c r="I264" i="1"/>
  <c r="H264" i="1"/>
  <c r="G264" i="1"/>
  <c r="F264" i="1"/>
  <c r="I263" i="1"/>
  <c r="G263" i="1"/>
  <c r="H263" i="1" s="1"/>
  <c r="F263" i="1"/>
  <c r="E262" i="1"/>
  <c r="E273" i="1" s="1"/>
  <c r="D262" i="1"/>
  <c r="H254" i="1"/>
  <c r="F254" i="1"/>
  <c r="H241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F237" i="1"/>
  <c r="F241" i="1" s="1"/>
  <c r="E237" i="1"/>
  <c r="E241" i="1" s="1"/>
  <c r="D219" i="1"/>
  <c r="H218" i="1"/>
  <c r="F218" i="1"/>
  <c r="G218" i="1" s="1"/>
  <c r="E218" i="1"/>
  <c r="H217" i="1"/>
  <c r="H215" i="1" s="1"/>
  <c r="H219" i="1" s="1"/>
  <c r="F217" i="1"/>
  <c r="E217" i="1"/>
  <c r="H216" i="1"/>
  <c r="F216" i="1"/>
  <c r="E216" i="1"/>
  <c r="F215" i="1"/>
  <c r="F219" i="1" s="1"/>
  <c r="G219" i="1" s="1"/>
  <c r="E215" i="1"/>
  <c r="E219" i="1" s="1"/>
  <c r="D206" i="1"/>
  <c r="G206" i="1" s="1"/>
  <c r="H205" i="1"/>
  <c r="G205" i="1"/>
  <c r="F205" i="1"/>
  <c r="E205" i="1"/>
  <c r="H204" i="1"/>
  <c r="F204" i="1"/>
  <c r="E204" i="1"/>
  <c r="H203" i="1"/>
  <c r="F203" i="1"/>
  <c r="E203" i="1"/>
  <c r="E202" i="1" s="1"/>
  <c r="E206" i="1" s="1"/>
  <c r="H202" i="1"/>
  <c r="H206" i="1" s="1"/>
  <c r="G202" i="1"/>
  <c r="F202" i="1"/>
  <c r="F206" i="1" s="1"/>
  <c r="F192" i="1"/>
  <c r="E192" i="1"/>
  <c r="D192" i="1"/>
  <c r="I191" i="1"/>
  <c r="G191" i="1"/>
  <c r="H191" i="1" s="1"/>
  <c r="F191" i="1"/>
  <c r="I190" i="1"/>
  <c r="I192" i="1" s="1"/>
  <c r="H190" i="1"/>
  <c r="G190" i="1"/>
  <c r="F190" i="1"/>
  <c r="I189" i="1"/>
  <c r="G189" i="1"/>
  <c r="H189" i="1" s="1"/>
  <c r="F189" i="1"/>
  <c r="D169" i="1"/>
  <c r="H168" i="1"/>
  <c r="F168" i="1"/>
  <c r="G168" i="1" s="1"/>
  <c r="E168" i="1"/>
  <c r="H167" i="1"/>
  <c r="G167" i="1"/>
  <c r="F167" i="1"/>
  <c r="E167" i="1"/>
  <c r="H166" i="1"/>
  <c r="F166" i="1"/>
  <c r="E166" i="1"/>
  <c r="H165" i="1"/>
  <c r="H163" i="1" s="1"/>
  <c r="F165" i="1"/>
  <c r="F163" i="1" s="1"/>
  <c r="E165" i="1"/>
  <c r="H164" i="1"/>
  <c r="F164" i="1"/>
  <c r="E164" i="1"/>
  <c r="E163" i="1"/>
  <c r="H162" i="1"/>
  <c r="G162" i="1"/>
  <c r="F162" i="1"/>
  <c r="E162" i="1"/>
  <c r="H161" i="1"/>
  <c r="F161" i="1"/>
  <c r="E161" i="1"/>
  <c r="E169" i="1" s="1"/>
  <c r="H160" i="1"/>
  <c r="H169" i="1" s="1"/>
  <c r="G160" i="1"/>
  <c r="F160" i="1"/>
  <c r="E160" i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I128" i="1"/>
  <c r="G128" i="1"/>
  <c r="H128" i="1" s="1"/>
  <c r="F128" i="1"/>
  <c r="I127" i="1"/>
  <c r="I126" i="1" s="1"/>
  <c r="H127" i="1"/>
  <c r="G127" i="1"/>
  <c r="G126" i="1" s="1"/>
  <c r="F127" i="1"/>
  <c r="F126" i="1"/>
  <c r="E126" i="1"/>
  <c r="D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H122" i="1"/>
  <c r="H121" i="1" s="1"/>
  <c r="G122" i="1"/>
  <c r="G121" i="1" s="1"/>
  <c r="F122" i="1"/>
  <c r="F121" i="1" s="1"/>
  <c r="F120" i="1" s="1"/>
  <c r="I121" i="1"/>
  <c r="I120" i="1" s="1"/>
  <c r="E121" i="1"/>
  <c r="E120" i="1" s="1"/>
  <c r="E137" i="1" s="1"/>
  <c r="D121" i="1"/>
  <c r="D120" i="1" s="1"/>
  <c r="D137" i="1" s="1"/>
  <c r="I119" i="1"/>
  <c r="H119" i="1"/>
  <c r="G119" i="1"/>
  <c r="F119" i="1"/>
  <c r="I118" i="1"/>
  <c r="H118" i="1"/>
  <c r="G118" i="1"/>
  <c r="F118" i="1"/>
  <c r="I117" i="1"/>
  <c r="H117" i="1"/>
  <c r="H115" i="1" s="1"/>
  <c r="G117" i="1"/>
  <c r="F117" i="1"/>
  <c r="I116" i="1"/>
  <c r="I115" i="1" s="1"/>
  <c r="H116" i="1"/>
  <c r="G116" i="1"/>
  <c r="F116" i="1"/>
  <c r="G115" i="1"/>
  <c r="F115" i="1"/>
  <c r="F137" i="1" s="1"/>
  <c r="E115" i="1"/>
  <c r="D115" i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I83" i="1" s="1"/>
  <c r="I82" i="1" s="1"/>
  <c r="G84" i="1"/>
  <c r="G83" i="1" s="1"/>
  <c r="G82" i="1" s="1"/>
  <c r="F84" i="1"/>
  <c r="F83" i="1" s="1"/>
  <c r="F82" i="1" s="1"/>
  <c r="E83" i="1"/>
  <c r="E82" i="1" s="1"/>
  <c r="E94" i="1" s="1"/>
  <c r="D83" i="1"/>
  <c r="D82" i="1" s="1"/>
  <c r="D94" i="1" s="1"/>
  <c r="I81" i="1"/>
  <c r="G81" i="1"/>
  <c r="G79" i="1" s="1"/>
  <c r="G94" i="1" s="1"/>
  <c r="F81" i="1"/>
  <c r="I80" i="1"/>
  <c r="H80" i="1"/>
  <c r="G80" i="1"/>
  <c r="F80" i="1"/>
  <c r="I79" i="1"/>
  <c r="I94" i="1" s="1"/>
  <c r="F79" i="1"/>
  <c r="E79" i="1"/>
  <c r="D79" i="1"/>
  <c r="C76" i="1"/>
  <c r="H72" i="1"/>
  <c r="F72" i="1"/>
  <c r="D72" i="1"/>
  <c r="H58" i="1"/>
  <c r="H57" i="1"/>
  <c r="I52" i="1"/>
  <c r="H52" i="1"/>
  <c r="G52" i="1"/>
  <c r="F5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H36" i="1"/>
  <c r="G36" i="1"/>
  <c r="F36" i="1"/>
  <c r="I35" i="1"/>
  <c r="G35" i="1"/>
  <c r="H35" i="1" s="1"/>
  <c r="F35" i="1"/>
  <c r="I34" i="1"/>
  <c r="I33" i="1" s="1"/>
  <c r="G34" i="1"/>
  <c r="H34" i="1" s="1"/>
  <c r="F34" i="1"/>
  <c r="F33" i="1" s="1"/>
  <c r="F25" i="1" s="1"/>
  <c r="E33" i="1"/>
  <c r="D33" i="1"/>
  <c r="I32" i="1"/>
  <c r="H32" i="1"/>
  <c r="G32" i="1"/>
  <c r="F32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I26" i="1" s="1"/>
  <c r="G27" i="1"/>
  <c r="H27" i="1" s="1"/>
  <c r="H26" i="1" s="1"/>
  <c r="F27" i="1"/>
  <c r="F26" i="1" s="1"/>
  <c r="E26" i="1"/>
  <c r="E25" i="1" s="1"/>
  <c r="D26" i="1"/>
  <c r="D25" i="1" s="1"/>
  <c r="I24" i="1"/>
  <c r="I22" i="1" s="1"/>
  <c r="G24" i="1"/>
  <c r="H24" i="1" s="1"/>
  <c r="H22" i="1" s="1"/>
  <c r="F24" i="1"/>
  <c r="I23" i="1"/>
  <c r="H23" i="1"/>
  <c r="G23" i="1"/>
  <c r="F23" i="1"/>
  <c r="G22" i="1"/>
  <c r="F22" i="1"/>
  <c r="E22" i="1"/>
  <c r="D22" i="1"/>
  <c r="D42" i="1" s="1"/>
  <c r="H16" i="1"/>
  <c r="F16" i="1"/>
  <c r="D16" i="1"/>
  <c r="F42" i="1" l="1"/>
  <c r="I25" i="1"/>
  <c r="I42" i="1" s="1"/>
  <c r="H126" i="1"/>
  <c r="E42" i="1"/>
  <c r="I137" i="1"/>
  <c r="F169" i="1"/>
  <c r="G169" i="1" s="1"/>
  <c r="G163" i="1"/>
  <c r="G120" i="1"/>
  <c r="G137" i="1" s="1"/>
  <c r="F94" i="1"/>
  <c r="H120" i="1"/>
  <c r="H137" i="1" s="1"/>
  <c r="G241" i="1"/>
  <c r="F304" i="1"/>
  <c r="G304" i="1" s="1"/>
  <c r="G294" i="1"/>
  <c r="H81" i="1"/>
  <c r="H79" i="1" s="1"/>
  <c r="H84" i="1"/>
  <c r="H83" i="1" s="1"/>
  <c r="H82" i="1" s="1"/>
  <c r="G192" i="1"/>
  <c r="H192" i="1" s="1"/>
  <c r="G215" i="1"/>
  <c r="H265" i="1"/>
  <c r="H262" i="1" s="1"/>
  <c r="H273" i="1" s="1"/>
  <c r="G323" i="1"/>
  <c r="G324" i="1" s="1"/>
  <c r="G33" i="1"/>
  <c r="G26" i="1"/>
  <c r="G237" i="1"/>
  <c r="G25" i="1" l="1"/>
  <c r="G42" i="1" s="1"/>
  <c r="H33" i="1"/>
  <c r="H25" i="1" s="1"/>
  <c r="H42" i="1" s="1"/>
  <c r="H94" i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<sst xmlns="http://schemas.openxmlformats.org/spreadsheetml/2006/main" count="391" uniqueCount="166">
  <si>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</si>
  <si>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</si>
  <si>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</si>
  <si>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</si>
  <si>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</si>
  <si>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</si>
  <si>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</si>
  <si>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</si>
  <si>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</si>
  <si>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</si>
  <si>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</si>
  <si>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</si>
  <si>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</si>
  <si>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</si>
  <si>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</si>
  <si>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</si>
  <si>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</si>
  <si>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</si>
  <si>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</si>
  <si>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</si>
  <si>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</si>
  <si>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</si>
  <si>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</si>
  <si>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</si>
  <si>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</si>
  <si>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</si>
  <si>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</si>
  <si>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</si>
  <si>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</si>
  <si>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</si>
  <si>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</si>
  <si>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</si>
  <si>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</si>
  <si>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</si>
  <si>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</si>
  <si>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</si>
  <si>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</si>
  <si>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</si>
  <si>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</si>
  <si>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</si>
  <si>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</si>
  <si>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</si>
  <si>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</si>
  <si>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</si>
  <si>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</si>
  <si>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</si>
  <si>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</si>
  <si>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</si>
  <si>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</si>
  <si>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</si>
  <si>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</si>
  <si>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</si>
  <si>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</si>
  <si>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</si>
  <si>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</si>
  <si>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</si>
  <si>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</si>
  <si>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</si>
  <si>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</si>
  <si>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</si>
  <si>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</si>
  <si>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</si>
  <si>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</si>
  <si>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</si>
  <si>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</si>
  <si>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</si>
  <si>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</si>
  <si>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</si>
  <si>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</si>
  <si>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</si>
  <si>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</si>
  <si>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</si>
  <si>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</si>
  <si>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</si>
  <si>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</si>
  <si>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</si>
  <si>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</si>
  <si>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</si>
  <si>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</si>
  <si>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</si>
  <si>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</si>
  <si>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</si>
  <si>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</si>
  <si>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</si>
  <si>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</si>
  <si>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</si>
  <si>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</si>
  <si>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</si>
  <si>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</si>
  <si>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</si>
  <si>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</si>
  <si>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</si>
  <si>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</si>
  <si>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</si>
  <si>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</si>
  <si>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</si>
  <si>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</si>
  <si>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</si>
  <si>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</si>
  <si>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</si>
  <si>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</si>
  <si>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</si>
  <si>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</si>
  <si>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</si>
  <si>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</si>
  <si>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</si>
  <si>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</si>
  <si>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</si>
  <si>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</si>
  <si>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</si>
  <si>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</si>
  <si>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</si>
  <si>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</si>
  <si>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</si>
  <si>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</si>
  <si>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</si>
  <si>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</si>
  <si>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</si>
  <si>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</si>
  <si>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</si>
  <si>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</si>
  <si>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</si>
  <si>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</si>
  <si>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</si>
  <si>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</si>
  <si>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</si>
  <si>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</si>
  <si>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</si>
  <si>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</si>
  <si>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</si>
  <si>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</si>
  <si>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</si>
  <si>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</si>
  <si>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</si>
  <si>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</si>
  <si>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</si>
  <si>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</si>
  <si>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</si>
  <si>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</si>
  <si>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</si>
  <si>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</si>
  <si>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</si>
  <si>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</si>
  <si>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</si>
  <si>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</si>
  <si>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</si>
  <si>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</si>
  <si>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</si>
  <si>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</si>
  <si>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</si>
  <si>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</si>
  <si>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</si>
  <si>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</si>
  <si>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</si>
  <si>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</si>
  <si>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</si>
  <si>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</si>
  <si>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</si>
  <si>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19 tonn, men det legges til grunn at hele avsetningen tas</t>
  </si>
  <si>
    <t>4 Registrert rekreasjonsfiske utgjør 89 tonn, men det legges til grunn at hele avsetningen tas</t>
  </si>
  <si>
    <t>3 Registrert rekreasjonsfiske utgjør 200 tonn, men det legges til grunn at hele avsetningen tas</t>
  </si>
  <si>
    <t>FANGST UKE 11</t>
  </si>
  <si>
    <t>FANGST T.O.M UKE 11</t>
  </si>
  <si>
    <t>RESTKVOTER UKE 11</t>
  </si>
  <si>
    <t>FANGST T.O.M UKE 11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</si>
  <si>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</t>
    </r>
    <r>
      <rPr>
        <sz val="9"/>
        <color theme="1"/>
        <rFont val="Calibri"/>
        <family val="2"/>
      </rPr>
      <t>Belastning av notkvoten er ikke beregnet i denne statikken for denne uken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</si>
</sst>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49" zoomScale="112" zoomScaleNormal="55" zoomScaleSheetLayoutView="100" zoomScalePageLayoutView="85" workbookViewId="0">
      <selection activeCell="M163" sqref="M163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7" t="s">
        <v>139</v>
      </c>
      <c r="C2" s="318"/>
      <c r="D2" s="318"/>
      <c r="E2" s="318"/>
      <c r="F2" s="318"/>
      <c r="G2" s="318"/>
      <c r="H2" s="318"/>
      <c r="I2" s="318"/>
      <c r="J2" s="319"/>
    </row>
    <row r="3" spans="1:10" ht="14.85" customHeight="1" x14ac:dyDescent="0.2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20"/>
      <c r="C9" s="321"/>
      <c r="D9" s="321"/>
      <c r="E9" s="321"/>
      <c r="F9" s="321"/>
      <c r="G9" s="321"/>
      <c r="H9" s="321"/>
      <c r="I9" s="321"/>
      <c r="J9" s="322"/>
    </row>
    <row r="10" spans="1:10" ht="12" customHeight="1" x14ac:dyDescent="0.2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3" t="s">
        <v>1</v>
      </c>
      <c r="D11" s="324"/>
      <c r="E11" s="323" t="s">
        <v>2</v>
      </c>
      <c r="F11" s="324"/>
      <c r="G11" s="323" t="s">
        <v>3</v>
      </c>
      <c r="H11" s="324"/>
      <c r="I11" s="173"/>
      <c r="J11" s="271"/>
    </row>
    <row r="12" spans="1:10" ht="14.1" customHeight="1" x14ac:dyDescent="0.2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2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2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2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" customHeight="1" x14ac:dyDescent="0.2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25">
      <c r="A17" s="101"/>
      <c r="B17" s="24"/>
      <c r="C17" s="329"/>
      <c r="D17" s="329"/>
      <c r="E17" s="329"/>
      <c r="F17" s="329"/>
      <c r="G17" s="329"/>
      <c r="H17" s="329"/>
      <c r="I17" s="101"/>
      <c r="J17" s="157"/>
    </row>
    <row r="18" spans="1:10" ht="15" customHeight="1" x14ac:dyDescent="0.2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2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2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" customHeight="1" x14ac:dyDescent="0.2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105.27749999999999</v>
      </c>
      <c r="G22" s="27">
        <f t="shared" si="0"/>
        <v>6462.3225999999995</v>
      </c>
      <c r="H22" s="10">
        <f>H24+H23</f>
        <v>26072.6774</v>
      </c>
      <c r="I22" s="10">
        <f t="shared" si="0"/>
        <v>9249.7156899999991</v>
      </c>
      <c r="J22" s="271"/>
    </row>
    <row r="23" spans="1:10" ht="14.1" customHeight="1" x14ac:dyDescent="0.25">
      <c r="A23" s="1"/>
      <c r="B23" s="281"/>
      <c r="C23" s="43" t="s">
        <v>20</v>
      </c>
      <c r="D23" s="44">
        <v>31785</v>
      </c>
      <c r="E23" s="44"/>
      <c r="F23" s="22">
        <f>105.0375</f>
        <v>105.03749999999999</v>
      </c>
      <c r="G23" s="22">
        <f>6427.0651</f>
        <v>6427.0650999999998</v>
      </c>
      <c r="H23" s="22">
        <f>D23-G23</f>
        <v>25357.9349</v>
      </c>
      <c r="I23" s="22">
        <f>9142.27969</f>
        <v>9142.2796899999994</v>
      </c>
      <c r="J23" s="271"/>
    </row>
    <row r="24" spans="1:10" ht="14.1" customHeight="1" x14ac:dyDescent="0.25">
      <c r="A24" s="1"/>
      <c r="B24" s="281"/>
      <c r="C24" s="47" t="s">
        <v>21</v>
      </c>
      <c r="D24" s="218">
        <v>750</v>
      </c>
      <c r="E24" s="218"/>
      <c r="F24" s="165">
        <f>0.24</f>
        <v>0.24</v>
      </c>
      <c r="G24" s="22">
        <f>35.2575</f>
        <v>35.2575</v>
      </c>
      <c r="H24" s="22">
        <f>D24-G24</f>
        <v>714.74249999999995</v>
      </c>
      <c r="I24" s="22">
        <f>107.436</f>
        <v>107.43600000000001</v>
      </c>
      <c r="J24" s="271"/>
    </row>
    <row r="25" spans="1:10" ht="14.1" customHeight="1" x14ac:dyDescent="0.2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9307.825420000001</v>
      </c>
      <c r="G25" s="10">
        <f t="shared" si="1"/>
        <v>46996.790509999999</v>
      </c>
      <c r="H25" s="10">
        <f t="shared" si="1"/>
        <v>48465.209490000001</v>
      </c>
      <c r="I25" s="10">
        <f t="shared" si="1"/>
        <v>54286.104720000003</v>
      </c>
      <c r="J25" s="271"/>
    </row>
    <row r="26" spans="1:10" ht="15" customHeight="1" x14ac:dyDescent="0.2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8021.9867700000004</v>
      </c>
      <c r="G26" s="129">
        <f>G27+G28+G29+G30+G31</f>
        <v>40649.34996</v>
      </c>
      <c r="H26" s="129">
        <f t="shared" ref="H26:I26" si="2">H27+H28+H29+H30+H31</f>
        <v>34838.65004</v>
      </c>
      <c r="I26" s="129">
        <f t="shared" si="2"/>
        <v>45941.952810000003</v>
      </c>
      <c r="J26" s="271"/>
    </row>
    <row r="27" spans="1:10" ht="14.1" customHeight="1" x14ac:dyDescent="0.25">
      <c r="A27" s="192"/>
      <c r="B27" s="176"/>
      <c r="C27" s="60" t="s">
        <v>24</v>
      </c>
      <c r="D27" s="61">
        <v>19164</v>
      </c>
      <c r="E27" s="61"/>
      <c r="F27" s="209">
        <f>2370.84546 - F53</f>
        <v>2370.84546</v>
      </c>
      <c r="G27" s="123">
        <f>10022.5692 - G53</f>
        <v>10022.5692</v>
      </c>
      <c r="H27" s="123">
        <f t="shared" ref="H27:H41" si="3">D27-G27</f>
        <v>9141.4308000000001</v>
      </c>
      <c r="I27" s="123">
        <f>11170.06611 - I53</f>
        <v>11170.06611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19036</v>
      </c>
      <c r="E28" s="61"/>
      <c r="F28" s="123">
        <f>2748.26693 - F54</f>
        <v>2748.2669299999998</v>
      </c>
      <c r="G28" s="123">
        <f>12072.87464 - G54</f>
        <v>12072.87464</v>
      </c>
      <c r="H28" s="123">
        <f t="shared" si="3"/>
        <v>6963.12536</v>
      </c>
      <c r="I28" s="123">
        <f>13050.15296 - I54</f>
        <v>13050.152959999999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17407</v>
      </c>
      <c r="E29" s="61"/>
      <c r="F29" s="123">
        <f>1747.09654 - F55</f>
        <v>1747.09654</v>
      </c>
      <c r="G29" s="123">
        <f>10434.9942 - G55</f>
        <v>10434.994199999999</v>
      </c>
      <c r="H29" s="123">
        <f t="shared" si="3"/>
        <v>6972.0058000000008</v>
      </c>
      <c r="I29" s="123">
        <f>12311.04822 - I55</f>
        <v>12311.048220000001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12796</v>
      </c>
      <c r="E30" s="61"/>
      <c r="F30" s="123">
        <f>1155.77784 - F56</f>
        <v>1155.77784</v>
      </c>
      <c r="G30" s="123">
        <f>8118.91192 - G56</f>
        <v>8118.9119199999996</v>
      </c>
      <c r="H30" s="123">
        <f t="shared" si="3"/>
        <v>4677.0880800000004</v>
      </c>
      <c r="I30" s="123">
        <f>9410.68552 - I56</f>
        <v>9410.6855200000009</v>
      </c>
      <c r="J30" s="63"/>
    </row>
    <row r="31" spans="1:10" ht="14.1" customHeight="1" x14ac:dyDescent="0.2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10717</v>
      </c>
      <c r="E32" s="55"/>
      <c r="F32" s="129">
        <f>152.47186</f>
        <v>152.47185999999999</v>
      </c>
      <c r="G32" s="129">
        <f>2283.28045</f>
        <v>2283.2804500000002</v>
      </c>
      <c r="H32" s="129">
        <f t="shared" si="3"/>
        <v>8433.7195499999998</v>
      </c>
      <c r="I32" s="129">
        <f>3617.33842</f>
        <v>3617.33842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1133.36679</v>
      </c>
      <c r="G33" s="129">
        <f>G34+G35</f>
        <v>4064.1601000000001</v>
      </c>
      <c r="H33" s="129">
        <f t="shared" si="3"/>
        <v>5192.8398999999999</v>
      </c>
      <c r="I33" s="129">
        <f>I34+I35</f>
        <v>4726.8134899999995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8392</v>
      </c>
      <c r="E34" s="61"/>
      <c r="F34" s="123">
        <f>1393.36679 - F57 - F58</f>
        <v>1133.36679</v>
      </c>
      <c r="G34" s="129">
        <f>4674.1601 - G57 - G58</f>
        <v>4064.1601000000001</v>
      </c>
      <c r="H34" s="123">
        <f t="shared" si="3"/>
        <v>4327.8398999999999</v>
      </c>
      <c r="I34" s="123">
        <f>5177.81349 - I57 - I58</f>
        <v>4726.8134899999995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25">
      <c r="A36" s="1"/>
      <c r="B36" s="281"/>
      <c r="C36" s="70" t="s">
        <v>32</v>
      </c>
      <c r="D36" s="140">
        <v>500</v>
      </c>
      <c r="E36" s="140"/>
      <c r="F36" s="136">
        <f>25.472</f>
        <v>25.472000000000001</v>
      </c>
      <c r="G36" s="136">
        <f>287.3148</f>
        <v>287.31479999999999</v>
      </c>
      <c r="H36" s="136">
        <f t="shared" si="3"/>
        <v>212.68520000000001</v>
      </c>
      <c r="I36" s="136">
        <f>237.4248</f>
        <v>237.4248</v>
      </c>
      <c r="J36" s="271"/>
    </row>
    <row r="37" spans="1:10" ht="14.1" customHeight="1" x14ac:dyDescent="0.25">
      <c r="A37" s="1"/>
      <c r="B37" s="281"/>
      <c r="C37" s="70" t="s">
        <v>33</v>
      </c>
      <c r="D37" s="140">
        <v>880</v>
      </c>
      <c r="E37" s="140"/>
      <c r="F37" s="95">
        <f>92.09795</f>
        <v>92.097949999999997</v>
      </c>
      <c r="G37" s="95">
        <f>321.25095</f>
        <v>321.25094999999999</v>
      </c>
      <c r="H37" s="95">
        <f t="shared" si="3"/>
        <v>558.74905000000001</v>
      </c>
      <c r="I37" s="95">
        <f>273.46641</f>
        <v>273.46641</v>
      </c>
      <c r="J37" s="271"/>
    </row>
    <row r="38" spans="1:10" ht="17.25" customHeight="1" x14ac:dyDescent="0.25">
      <c r="A38" s="1"/>
      <c r="B38" s="281"/>
      <c r="C38" s="70" t="s">
        <v>34</v>
      </c>
      <c r="D38" s="140">
        <v>3000</v>
      </c>
      <c r="E38" s="140"/>
      <c r="F38" s="95">
        <f>F58</f>
        <v>260</v>
      </c>
      <c r="G38" s="95">
        <f>G58</f>
        <v>610</v>
      </c>
      <c r="H38" s="95">
        <f t="shared" si="3"/>
        <v>2390</v>
      </c>
      <c r="I38" s="95">
        <f>I58</f>
        <v>451</v>
      </c>
      <c r="J38" s="271"/>
    </row>
    <row r="39" spans="1:10" ht="17.25" customHeight="1" x14ac:dyDescent="0.25">
      <c r="A39" s="1"/>
      <c r="B39" s="281"/>
      <c r="C39" s="70" t="s">
        <v>35</v>
      </c>
      <c r="D39" s="140">
        <v>7000</v>
      </c>
      <c r="E39" s="140"/>
      <c r="F39" s="95">
        <f>36.45574</f>
        <v>36.455739999999999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25">
      <c r="A40" s="1"/>
      <c r="B40" s="281"/>
      <c r="C40" s="70" t="s">
        <v>37</v>
      </c>
      <c r="D40" s="140">
        <v>450</v>
      </c>
      <c r="E40" s="140"/>
      <c r="F40" s="95">
        <f>56.821</f>
        <v>56.820999999999998</v>
      </c>
      <c r="G40" s="95">
        <f>102.02118</f>
        <v>102.02118</v>
      </c>
      <c r="H40" s="95">
        <f t="shared" si="3"/>
        <v>347.97881999999998</v>
      </c>
      <c r="I40" s="95">
        <f>105.84031</f>
        <v>105.84031</v>
      </c>
      <c r="J40" s="271"/>
    </row>
    <row r="41" spans="1:10" ht="14.1" customHeight="1" x14ac:dyDescent="0.25">
      <c r="A41" s="1"/>
      <c r="B41" s="281"/>
      <c r="C41" s="70" t="s">
        <v>38</v>
      </c>
      <c r="D41" s="140"/>
      <c r="E41" s="136"/>
      <c r="F41" s="136">
        <f>0</f>
        <v>0</v>
      </c>
      <c r="G41" s="136">
        <f>31.9384</f>
        <v>31.938400000000001</v>
      </c>
      <c r="H41" s="136">
        <f t="shared" si="3"/>
        <v>-31.938400000000001</v>
      </c>
      <c r="I41" s="136">
        <f>24.478</f>
        <v>24.478000000000002</v>
      </c>
      <c r="J41" s="271"/>
    </row>
    <row r="42" spans="1:10" ht="16.5" customHeight="1" x14ac:dyDescent="0.2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9883.9496099999997</v>
      </c>
      <c r="G42" s="73">
        <f t="shared" si="4"/>
        <v>54811.638440000002</v>
      </c>
      <c r="H42" s="73">
        <f t="shared" si="4"/>
        <v>85015.361560000005</v>
      </c>
      <c r="I42" s="73">
        <f t="shared" si="4"/>
        <v>64628.029930000004</v>
      </c>
      <c r="J42" s="271"/>
    </row>
    <row r="43" spans="1:10" ht="14.1" customHeight="1" x14ac:dyDescent="0.2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" customHeight="1" x14ac:dyDescent="0.2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25">
      <c r="A49" s="101"/>
      <c r="B49" s="24"/>
      <c r="C49" s="332" t="s">
        <v>138</v>
      </c>
      <c r="D49" s="332"/>
      <c r="E49" s="332"/>
      <c r="F49" s="332"/>
      <c r="G49" s="332"/>
      <c r="H49" s="332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" customHeight="1" x14ac:dyDescent="0.25">
      <c r="A52" s="101"/>
      <c r="B52" s="24"/>
      <c r="C52" s="15" t="s">
        <v>42</v>
      </c>
      <c r="D52" s="333">
        <v>7085</v>
      </c>
      <c r="E52" s="333"/>
      <c r="F52" s="10">
        <f>F56+F55+F54+F53</f>
        <v>0</v>
      </c>
      <c r="G52" s="10">
        <f>G56+G55+G54+G53</f>
        <v>0</v>
      </c>
      <c r="H52" s="333">
        <f>D52-G52</f>
        <v>7085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34"/>
      <c r="E53" s="334"/>
      <c r="F53" s="123"/>
      <c r="G53" s="123"/>
      <c r="H53" s="334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34"/>
      <c r="E54" s="334"/>
      <c r="F54" s="123"/>
      <c r="G54" s="123"/>
      <c r="H54" s="334"/>
      <c r="I54" s="123"/>
      <c r="J54" s="271"/>
    </row>
    <row r="55" spans="1:10" ht="14.1" customHeight="1" x14ac:dyDescent="0.25">
      <c r="A55" s="101"/>
      <c r="B55" s="24"/>
      <c r="C55" s="60" t="s">
        <v>26</v>
      </c>
      <c r="D55" s="334"/>
      <c r="E55" s="334"/>
      <c r="F55" s="123"/>
      <c r="G55" s="123"/>
      <c r="H55" s="334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35"/>
      <c r="E56" s="335"/>
      <c r="F56" s="186"/>
      <c r="G56" s="186"/>
      <c r="H56" s="335"/>
      <c r="I56" s="186"/>
      <c r="J56" s="117"/>
    </row>
    <row r="57" spans="1:10" ht="14.1" customHeight="1" x14ac:dyDescent="0.2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/>
      <c r="F58" s="136">
        <v>260</v>
      </c>
      <c r="G58" s="136">
        <v>610</v>
      </c>
      <c r="H58" s="136">
        <f>D58-G58</f>
        <v>2390</v>
      </c>
      <c r="I58" s="136">
        <v>451</v>
      </c>
      <c r="J58" s="117"/>
    </row>
    <row r="59" spans="1:10" ht="14.1" customHeight="1" x14ac:dyDescent="0.2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3" t="s">
        <v>1</v>
      </c>
      <c r="D68" s="324"/>
      <c r="E68" s="323" t="s">
        <v>2</v>
      </c>
      <c r="F68" s="336"/>
      <c r="G68" s="323" t="s">
        <v>3</v>
      </c>
      <c r="H68" s="324"/>
      <c r="I68" s="173"/>
      <c r="J68" s="271"/>
    </row>
    <row r="69" spans="1:10" ht="15" customHeight="1" x14ac:dyDescent="0.2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2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" customHeight="1" x14ac:dyDescent="0.2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2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2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2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" customHeight="1" x14ac:dyDescent="0.2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2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2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309.57096999999999</v>
      </c>
      <c r="G79" s="10">
        <f t="shared" si="5"/>
        <v>5718.4965699999993</v>
      </c>
      <c r="H79" s="10">
        <f t="shared" si="5"/>
        <v>22676.503430000001</v>
      </c>
      <c r="I79" s="10">
        <f t="shared" si="5"/>
        <v>6047.4017800000001</v>
      </c>
      <c r="J79" s="271"/>
    </row>
    <row r="80" spans="1:10" ht="15" customHeight="1" x14ac:dyDescent="0.25">
      <c r="A80" s="1"/>
      <c r="B80" s="281"/>
      <c r="C80" s="43" t="s">
        <v>20</v>
      </c>
      <c r="D80" s="44">
        <v>27645</v>
      </c>
      <c r="E80" s="44"/>
      <c r="F80" s="22">
        <f>308.33197</f>
        <v>308.33197000000001</v>
      </c>
      <c r="G80" s="22">
        <f>5689.40457</f>
        <v>5689.4045699999997</v>
      </c>
      <c r="H80" s="22">
        <f>D80-G80</f>
        <v>21955.595430000001</v>
      </c>
      <c r="I80" s="22">
        <f>5923.82938</f>
        <v>5923.8293800000001</v>
      </c>
      <c r="J80" s="271"/>
    </row>
    <row r="81" spans="1:10" ht="14.1" customHeight="1" x14ac:dyDescent="0.25">
      <c r="A81" s="1"/>
      <c r="B81" s="281"/>
      <c r="C81" s="62" t="s">
        <v>21</v>
      </c>
      <c r="D81" s="218">
        <v>750</v>
      </c>
      <c r="E81" s="218"/>
      <c r="F81" s="48">
        <f>1.239</f>
        <v>1.2390000000000001</v>
      </c>
      <c r="G81" s="48">
        <f>29.092</f>
        <v>29.091999999999999</v>
      </c>
      <c r="H81" s="48">
        <f>D81-G81</f>
        <v>720.90800000000002</v>
      </c>
      <c r="I81" s="48">
        <f>123.5724</f>
        <v>123.5724</v>
      </c>
      <c r="J81" s="271"/>
    </row>
    <row r="82" spans="1:10" ht="15.75" customHeight="1" x14ac:dyDescent="0.2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974.90424000000007</v>
      </c>
      <c r="G82" s="10">
        <f t="shared" si="6"/>
        <v>7658.7206699999997</v>
      </c>
      <c r="H82" s="10">
        <f>H83+H88+H89</f>
        <v>39622.279330000005</v>
      </c>
      <c r="I82" s="10">
        <f t="shared" si="6"/>
        <v>10893.028569999999</v>
      </c>
      <c r="J82" s="271"/>
    </row>
    <row r="83" spans="1:10" ht="14.1" customHeight="1" x14ac:dyDescent="0.2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844.25021000000015</v>
      </c>
      <c r="G83" s="129">
        <f t="shared" si="7"/>
        <v>5661.2486699999999</v>
      </c>
      <c r="H83" s="129">
        <f t="shared" si="7"/>
        <v>29574.751330000003</v>
      </c>
      <c r="I83" s="129">
        <f t="shared" si="7"/>
        <v>8302.6082799999986</v>
      </c>
      <c r="J83" s="271"/>
    </row>
    <row r="84" spans="1:10" ht="14.1" customHeight="1" x14ac:dyDescent="0.25">
      <c r="A84" s="192"/>
      <c r="B84" s="176"/>
      <c r="C84" s="60" t="s">
        <v>24</v>
      </c>
      <c r="D84" s="61">
        <v>9425</v>
      </c>
      <c r="E84" s="61"/>
      <c r="F84" s="123">
        <f>103.10481</f>
        <v>103.10481</v>
      </c>
      <c r="G84" s="123">
        <f>1775.98247</f>
        <v>1775.9824699999999</v>
      </c>
      <c r="H84" s="123">
        <f t="shared" ref="H84:H93" si="8">D84-G84</f>
        <v>7649.0175300000001</v>
      </c>
      <c r="I84" s="123">
        <f>1909.47063</f>
        <v>1909.47063</v>
      </c>
      <c r="J84" s="271"/>
    </row>
    <row r="85" spans="1:10" ht="14.1" customHeight="1" x14ac:dyDescent="0.25">
      <c r="A85" s="192"/>
      <c r="B85" s="176"/>
      <c r="C85" s="60" t="s">
        <v>48</v>
      </c>
      <c r="D85" s="61">
        <v>9801</v>
      </c>
      <c r="E85" s="61"/>
      <c r="F85" s="123">
        <f>182.77147</f>
        <v>182.77146999999999</v>
      </c>
      <c r="G85" s="123">
        <f>1605.17037</f>
        <v>1605.17037</v>
      </c>
      <c r="H85" s="123">
        <f t="shared" si="8"/>
        <v>8195.8296300000002</v>
      </c>
      <c r="I85" s="123">
        <f>2131.68527</f>
        <v>2131.6852699999999</v>
      </c>
      <c r="J85" s="271"/>
    </row>
    <row r="86" spans="1:10" ht="14.1" customHeight="1" x14ac:dyDescent="0.25">
      <c r="A86" s="192"/>
      <c r="B86" s="176"/>
      <c r="C86" s="60" t="s">
        <v>49</v>
      </c>
      <c r="D86" s="61">
        <v>9599</v>
      </c>
      <c r="E86" s="61"/>
      <c r="F86" s="123">
        <f>293.52886</f>
        <v>293.52886000000001</v>
      </c>
      <c r="G86" s="123">
        <f>1280.76903</f>
        <v>1280.7690299999999</v>
      </c>
      <c r="H86" s="123">
        <f t="shared" si="8"/>
        <v>8318.2309700000005</v>
      </c>
      <c r="I86" s="123">
        <f>2296.50305</f>
        <v>2296.5030499999998</v>
      </c>
      <c r="J86" s="271"/>
    </row>
    <row r="87" spans="1:10" ht="14.1" customHeight="1" x14ac:dyDescent="0.25">
      <c r="A87" s="192"/>
      <c r="B87" s="176"/>
      <c r="C87" s="60" t="s">
        <v>27</v>
      </c>
      <c r="D87" s="61">
        <v>6411</v>
      </c>
      <c r="E87" s="61"/>
      <c r="F87" s="123">
        <f>264.84507</f>
        <v>264.84507000000002</v>
      </c>
      <c r="G87" s="123">
        <f>999.3268</f>
        <v>999.32680000000005</v>
      </c>
      <c r="H87" s="123">
        <f t="shared" si="8"/>
        <v>5411.6732000000002</v>
      </c>
      <c r="I87" s="123">
        <f>1964.94933</f>
        <v>1964.9493299999999</v>
      </c>
      <c r="J87" s="271"/>
    </row>
    <row r="88" spans="1:10" ht="14.1" customHeight="1" x14ac:dyDescent="0.25">
      <c r="A88" s="192"/>
      <c r="B88" s="176"/>
      <c r="C88" s="54" t="s">
        <v>50</v>
      </c>
      <c r="D88" s="55">
        <v>8339</v>
      </c>
      <c r="E88" s="55"/>
      <c r="F88" s="129">
        <f>51.29914</f>
        <v>51.299140000000001</v>
      </c>
      <c r="G88" s="129">
        <f>1104.54688</f>
        <v>1104.5468800000001</v>
      </c>
      <c r="H88" s="129">
        <f t="shared" si="8"/>
        <v>7234.4531200000001</v>
      </c>
      <c r="I88" s="129">
        <f>1852.02981</f>
        <v>1852.02981</v>
      </c>
      <c r="J88" s="271"/>
    </row>
    <row r="89" spans="1:10" ht="15.75" customHeight="1" x14ac:dyDescent="0.25">
      <c r="A89" s="1"/>
      <c r="B89" s="51"/>
      <c r="C89" s="37" t="s">
        <v>11</v>
      </c>
      <c r="D89" s="59">
        <v>3706</v>
      </c>
      <c r="E89" s="59"/>
      <c r="F89" s="72">
        <f>79.35489</f>
        <v>79.354889999999997</v>
      </c>
      <c r="G89" s="72">
        <f>892.92512</f>
        <v>892.92511999999999</v>
      </c>
      <c r="H89" s="72">
        <f t="shared" si="8"/>
        <v>2813.0748800000001</v>
      </c>
      <c r="I89" s="72">
        <f>738.39048</f>
        <v>738.39048000000003</v>
      </c>
      <c r="J89" s="271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/>
      <c r="F90" s="95">
        <f>0.09134</f>
        <v>9.1340000000000005E-2</v>
      </c>
      <c r="G90" s="95">
        <f>10.56408</f>
        <v>10.564080000000001</v>
      </c>
      <c r="H90" s="95">
        <f t="shared" si="8"/>
        <v>308.43592000000001</v>
      </c>
      <c r="I90" s="95">
        <f>15.06872</f>
        <v>15.068720000000001</v>
      </c>
      <c r="J90" s="271"/>
    </row>
    <row r="91" spans="1:10" ht="18" customHeight="1" x14ac:dyDescent="0.25">
      <c r="A91" s="1"/>
      <c r="B91" s="281"/>
      <c r="C91" s="70" t="s">
        <v>51</v>
      </c>
      <c r="D91" s="140">
        <v>300</v>
      </c>
      <c r="E91" s="140"/>
      <c r="F91" s="136">
        <f>3.94248</f>
        <v>3.9424800000000002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25">
      <c r="A92" s="1"/>
      <c r="B92" s="281"/>
      <c r="C92" s="89" t="s">
        <v>37</v>
      </c>
      <c r="D92" s="140">
        <v>50</v>
      </c>
      <c r="E92" s="140"/>
      <c r="F92" s="95">
        <f>0.15614</f>
        <v>0.15614</v>
      </c>
      <c r="G92" s="95">
        <f>2.38859</f>
        <v>2.3885900000000002</v>
      </c>
      <c r="H92" s="136">
        <f t="shared" si="8"/>
        <v>47.611409999999999</v>
      </c>
      <c r="I92" s="95">
        <f>8.11327</f>
        <v>8.11327</v>
      </c>
      <c r="J92" s="271"/>
    </row>
    <row r="93" spans="1:10" ht="18" customHeight="1" x14ac:dyDescent="0.25">
      <c r="A93" s="1"/>
      <c r="B93" s="281"/>
      <c r="C93" s="89" t="s">
        <v>52</v>
      </c>
      <c r="D93" s="140"/>
      <c r="E93" s="136"/>
      <c r="F93" s="136">
        <f>0.58</f>
        <v>0.57999999999999996</v>
      </c>
      <c r="G93" s="136">
        <f>1.74116</f>
        <v>1.74116</v>
      </c>
      <c r="H93" s="136">
        <f t="shared" si="8"/>
        <v>-1.74116</v>
      </c>
      <c r="I93" s="136">
        <f>1.0708</f>
        <v>1.0708</v>
      </c>
      <c r="J93" s="271"/>
    </row>
    <row r="94" spans="1:10" ht="16.5" customHeight="1" x14ac:dyDescent="0.2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1289.2451699999999</v>
      </c>
      <c r="G94" s="73">
        <f t="shared" si="10"/>
        <v>13391.911069999998</v>
      </c>
      <c r="H94" s="73">
        <f t="shared" si="10"/>
        <v>62953.088930000005</v>
      </c>
      <c r="I94" s="73">
        <f t="shared" si="10"/>
        <v>16964.683140000001</v>
      </c>
      <c r="J94" s="271"/>
    </row>
    <row r="95" spans="1:10" ht="13.5" customHeight="1" x14ac:dyDescent="0.2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2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2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2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" customHeight="1" x14ac:dyDescent="0.2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" customHeight="1" x14ac:dyDescent="0.2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" customHeight="1" x14ac:dyDescent="0.2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" customHeight="1" x14ac:dyDescent="0.2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2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2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2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" customHeight="1" x14ac:dyDescent="0.2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866.11144999999999</v>
      </c>
      <c r="G115" s="10">
        <f t="shared" si="11"/>
        <v>9176.3239699999995</v>
      </c>
      <c r="H115" s="10">
        <f t="shared" si="11"/>
        <v>45069.676029999995</v>
      </c>
      <c r="I115" s="10">
        <f t="shared" si="11"/>
        <v>20414.296469999997</v>
      </c>
      <c r="J115" s="271"/>
    </row>
    <row r="116" spans="1:10" ht="14.1" customHeight="1" x14ac:dyDescent="0.25">
      <c r="A116" s="1"/>
      <c r="B116" s="281"/>
      <c r="C116" s="43" t="s">
        <v>20</v>
      </c>
      <c r="D116" s="44">
        <v>43397</v>
      </c>
      <c r="E116" s="44"/>
      <c r="F116" s="22">
        <f>829.137</f>
        <v>829.13699999999994</v>
      </c>
      <c r="G116" s="22">
        <f>8569.53787</f>
        <v>8569.5378700000001</v>
      </c>
      <c r="H116" s="22">
        <f>D116-G116</f>
        <v>34827.46213</v>
      </c>
      <c r="I116" s="22">
        <f>18944.49112</f>
        <v>18944.491119999999</v>
      </c>
      <c r="J116" s="271"/>
    </row>
    <row r="117" spans="1:10" ht="15" customHeight="1" x14ac:dyDescent="0.25">
      <c r="A117" s="1"/>
      <c r="B117" s="281"/>
      <c r="C117" s="43" t="s">
        <v>21</v>
      </c>
      <c r="D117" s="44">
        <v>10349</v>
      </c>
      <c r="E117" s="44"/>
      <c r="F117" s="22">
        <f>31.73445</f>
        <v>31.734449999999999</v>
      </c>
      <c r="G117" s="22">
        <f>544.0581</f>
        <v>544.05809999999997</v>
      </c>
      <c r="H117" s="22">
        <f>D117-G117</f>
        <v>9804.9418999999998</v>
      </c>
      <c r="I117" s="22">
        <f>1407.3939</f>
        <v>1407.3939</v>
      </c>
      <c r="J117" s="271"/>
    </row>
    <row r="118" spans="1:10" ht="13.5" customHeight="1" x14ac:dyDescent="0.25">
      <c r="A118" s="1"/>
      <c r="B118" s="281"/>
      <c r="C118" s="47" t="s">
        <v>59</v>
      </c>
      <c r="D118" s="32">
        <v>500</v>
      </c>
      <c r="E118" s="32"/>
      <c r="F118" s="22">
        <f>5.24</f>
        <v>5.24</v>
      </c>
      <c r="G118" s="22">
        <f>62.728</f>
        <v>62.728000000000002</v>
      </c>
      <c r="H118" s="53">
        <f>D118-G118</f>
        <v>437.27199999999999</v>
      </c>
      <c r="I118" s="22">
        <f>62.41145</f>
        <v>62.411450000000002</v>
      </c>
      <c r="J118" s="271"/>
    </row>
    <row r="119" spans="1:10" ht="14.25" customHeight="1" x14ac:dyDescent="0.25">
      <c r="A119" s="65"/>
      <c r="B119" s="75"/>
      <c r="C119" s="85" t="s">
        <v>60</v>
      </c>
      <c r="D119" s="87">
        <v>36653</v>
      </c>
      <c r="E119" s="87"/>
      <c r="F119" s="92">
        <f>0</f>
        <v>0</v>
      </c>
      <c r="G119" s="92">
        <f>93.469</f>
        <v>93.468999999999994</v>
      </c>
      <c r="H119" s="92">
        <f>D119-G119</f>
        <v>36559.531000000003</v>
      </c>
      <c r="I119" s="92">
        <f>23.155</f>
        <v>23.155000000000001</v>
      </c>
      <c r="J119" s="111"/>
    </row>
    <row r="120" spans="1:10" ht="15.75" customHeight="1" x14ac:dyDescent="0.25">
      <c r="A120" s="1"/>
      <c r="B120" s="281"/>
      <c r="C120" s="139" t="s">
        <v>22</v>
      </c>
      <c r="D120" s="140">
        <f>D121+D126+D129</f>
        <v>57110</v>
      </c>
      <c r="E120" s="140">
        <f>E121+E126+E129</f>
        <v>0</v>
      </c>
      <c r="F120" s="91">
        <f>F121+F126+F129</f>
        <v>1113.60088</v>
      </c>
      <c r="G120" s="91">
        <f t="shared" ref="G120" si="12">G121+G126+G129</f>
        <v>14809.897369999999</v>
      </c>
      <c r="H120" s="91">
        <f>H121+H126+H129</f>
        <v>42300.102630000001</v>
      </c>
      <c r="I120" s="91">
        <f>I121+I126+I129</f>
        <v>25894.587140000003</v>
      </c>
      <c r="J120" s="117"/>
    </row>
    <row r="121" spans="1:10" ht="14.1" customHeight="1" x14ac:dyDescent="0.2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823.56128000000001</v>
      </c>
      <c r="G121" s="121">
        <f>G122+G123+G125+G124</f>
        <v>11978.015869999999</v>
      </c>
      <c r="H121" s="121">
        <f>H122+H123+H124+H125</f>
        <v>31203.984129999997</v>
      </c>
      <c r="I121" s="121">
        <f>I122+I123+I124+I125</f>
        <v>19885.402560000002</v>
      </c>
      <c r="J121" s="305"/>
    </row>
    <row r="122" spans="1:10" ht="14.1" customHeight="1" x14ac:dyDescent="0.25">
      <c r="A122" s="192"/>
      <c r="B122" s="122"/>
      <c r="C122" s="60" t="s">
        <v>24</v>
      </c>
      <c r="D122" s="61">
        <v>11476</v>
      </c>
      <c r="E122" s="61"/>
      <c r="F122" s="123">
        <f>156.27527</f>
        <v>156.27527000000001</v>
      </c>
      <c r="G122" s="123">
        <f>3463.26313</f>
        <v>3463.2631299999998</v>
      </c>
      <c r="H122" s="123">
        <f>D122-G122</f>
        <v>8012.7368700000006</v>
      </c>
      <c r="I122" s="123">
        <f>4693.31313</f>
        <v>4693.3131299999995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11835</v>
      </c>
      <c r="E123" s="61"/>
      <c r="F123" s="123">
        <f>216.29827</f>
        <v>216.29827</v>
      </c>
      <c r="G123" s="123">
        <f>4060.9688</f>
        <v>4060.9688000000001</v>
      </c>
      <c r="H123" s="123">
        <f>D123-G123</f>
        <v>7774.0311999999994</v>
      </c>
      <c r="I123" s="123">
        <f>6696.24729</f>
        <v>6696.2472900000002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10473</v>
      </c>
      <c r="E124" s="61"/>
      <c r="F124" s="123">
        <f>235.59699</f>
        <v>235.59699000000001</v>
      </c>
      <c r="G124" s="123">
        <f>2573.2558</f>
        <v>2573.2557999999999</v>
      </c>
      <c r="H124" s="123">
        <f>D124-G124</f>
        <v>7899.7442000000001</v>
      </c>
      <c r="I124" s="123">
        <f>4330.97846</f>
        <v>4330.9784600000003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9398</v>
      </c>
      <c r="E125" s="61"/>
      <c r="F125" s="123">
        <f>215.39075</f>
        <v>215.39075</v>
      </c>
      <c r="G125" s="123">
        <f>1880.52814</f>
        <v>1880.5281399999999</v>
      </c>
      <c r="H125" s="123">
        <f>D125-G125</f>
        <v>7517.4718599999997</v>
      </c>
      <c r="I125" s="123">
        <f>4164.86368</f>
        <v>4164.8636800000004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6128</v>
      </c>
      <c r="E126" s="55">
        <f>E127+E128</f>
        <v>0</v>
      </c>
      <c r="F126" s="129">
        <f>SUM(F127:F128)</f>
        <v>135.73740000000001</v>
      </c>
      <c r="G126" s="129">
        <f>SUM(G127:G128)</f>
        <v>784.53588000000002</v>
      </c>
      <c r="H126" s="129">
        <f>H127+H128</f>
        <v>5343.4641200000005</v>
      </c>
      <c r="I126" s="129">
        <f>SUM(I127:I128)</f>
        <v>3970.0854800000002</v>
      </c>
      <c r="J126" s="130"/>
    </row>
    <row r="127" spans="1:10" ht="14.1" customHeight="1" x14ac:dyDescent="0.25">
      <c r="A127" s="1"/>
      <c r="B127" s="281"/>
      <c r="C127" s="60" t="s">
        <v>62</v>
      </c>
      <c r="D127" s="61">
        <v>5628</v>
      </c>
      <c r="E127" s="61"/>
      <c r="F127" s="123">
        <f>131.949</f>
        <v>131.94900000000001</v>
      </c>
      <c r="G127" s="123">
        <f>664.53098</f>
        <v>664.53098</v>
      </c>
      <c r="H127" s="123">
        <f t="shared" ref="H127:H135" si="13">D127-G127</f>
        <v>4963.4690200000005</v>
      </c>
      <c r="I127" s="123">
        <f>3879.49229</f>
        <v>3879.4922900000001</v>
      </c>
      <c r="J127" s="117"/>
    </row>
    <row r="128" spans="1:10" ht="15" customHeight="1" x14ac:dyDescent="0.25">
      <c r="A128" s="1"/>
      <c r="B128" s="51"/>
      <c r="C128" s="60" t="s">
        <v>63</v>
      </c>
      <c r="D128" s="61">
        <v>500</v>
      </c>
      <c r="E128" s="61"/>
      <c r="F128" s="123">
        <f>3.7884</f>
        <v>3.7884000000000002</v>
      </c>
      <c r="G128" s="123">
        <f>120.0049</f>
        <v>120.00490000000001</v>
      </c>
      <c r="H128" s="123">
        <f t="shared" si="13"/>
        <v>379.99509999999998</v>
      </c>
      <c r="I128" s="123">
        <f>90.59319</f>
        <v>90.593190000000007</v>
      </c>
      <c r="J128" s="131"/>
    </row>
    <row r="129" spans="1:10" ht="15.75" customHeight="1" x14ac:dyDescent="0.25">
      <c r="A129" s="1"/>
      <c r="B129" s="281"/>
      <c r="C129" s="37" t="s">
        <v>11</v>
      </c>
      <c r="D129" s="59">
        <v>7800</v>
      </c>
      <c r="E129" s="59"/>
      <c r="F129" s="72">
        <f>154.3022</f>
        <v>154.3022</v>
      </c>
      <c r="G129" s="72">
        <f>2047.34562</f>
        <v>2047.3456200000001</v>
      </c>
      <c r="H129" s="72">
        <f t="shared" si="13"/>
        <v>5752.6543799999999</v>
      </c>
      <c r="I129" s="72">
        <f>2039.0991</f>
        <v>2039.0990999999999</v>
      </c>
      <c r="J129" s="117"/>
    </row>
    <row r="130" spans="1:10" ht="15.75" customHeight="1" x14ac:dyDescent="0.25">
      <c r="A130" s="1"/>
      <c r="B130" s="281"/>
      <c r="C130" s="139" t="s">
        <v>33</v>
      </c>
      <c r="D130" s="140">
        <v>156</v>
      </c>
      <c r="E130" s="140"/>
      <c r="F130" s="136">
        <f>0.17165</f>
        <v>0.17165</v>
      </c>
      <c r="G130" s="136">
        <f>11.705</f>
        <v>11.705</v>
      </c>
      <c r="H130" s="136">
        <f t="shared" si="13"/>
        <v>144.29499999999999</v>
      </c>
      <c r="I130" s="136">
        <f>10.2855</f>
        <v>10.285500000000001</v>
      </c>
      <c r="J130" s="117"/>
    </row>
    <row r="131" spans="1:10" ht="15.75" customHeight="1" x14ac:dyDescent="0.2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25">
      <c r="A132" s="1"/>
      <c r="B132" s="281"/>
      <c r="C132" s="137" t="s">
        <v>65</v>
      </c>
      <c r="D132" s="140">
        <v>2000</v>
      </c>
      <c r="E132" s="140"/>
      <c r="F132" s="136">
        <f>14.07975</f>
        <v>14.079750000000001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2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25">
      <c r="A134" s="1"/>
      <c r="B134" s="281"/>
      <c r="C134" s="139" t="s">
        <v>66</v>
      </c>
      <c r="D134" s="140">
        <v>255</v>
      </c>
      <c r="E134" s="140"/>
      <c r="F134" s="95">
        <f>0.24785</f>
        <v>0.24784999999999999</v>
      </c>
      <c r="G134" s="95">
        <f>3.5594</f>
        <v>3.5594000000000001</v>
      </c>
      <c r="H134" s="136">
        <f t="shared" si="13"/>
        <v>251.44059999999999</v>
      </c>
      <c r="I134" s="95">
        <f>68.66518</f>
        <v>68.665180000000007</v>
      </c>
      <c r="J134" s="117"/>
    </row>
    <row r="135" spans="1:10" ht="15" customHeight="1" x14ac:dyDescent="0.2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63.65505</f>
        <v>63.655050000000003</v>
      </c>
      <c r="H135" s="136">
        <f t="shared" si="13"/>
        <v>-63.655050000000003</v>
      </c>
      <c r="I135" s="136">
        <f>41.86135</f>
        <v>41.861350000000002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0</v>
      </c>
      <c r="F137" s="73">
        <f>F115+F119+F120+F130+F131+F132+F133+F134+F135</f>
        <v>1994.2115799999999</v>
      </c>
      <c r="G137" s="73">
        <f>G115+G119+G120+G130+G131+G132+G133+G134+G135</f>
        <v>24158.609789999999</v>
      </c>
      <c r="H137" s="73">
        <f>H115+H119+H120+H130+H131+H132+H133+H134+H135</f>
        <v>126611.39021</v>
      </c>
      <c r="I137" s="73">
        <f>I115+I119+I120+I130+I131+I132+I133+I134+I135</f>
        <v>46452.850640000004</v>
      </c>
      <c r="J137" s="155"/>
    </row>
    <row r="138" spans="1:10" ht="14.25" customHeight="1" x14ac:dyDescent="0.2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25">
      <c r="A140" s="152"/>
      <c r="B140" s="50"/>
      <c r="C140" s="156" t="s">
        <v>165</v>
      </c>
      <c r="D140" s="337"/>
      <c r="E140" s="116"/>
      <c r="F140" s="116"/>
      <c r="G140" s="116"/>
      <c r="H140" s="159"/>
      <c r="I140" s="152"/>
      <c r="J140" s="305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2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2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" customHeight="1" x14ac:dyDescent="0.2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" customHeight="1" x14ac:dyDescent="0.2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" customHeight="1" x14ac:dyDescent="0.2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" customHeight="1" x14ac:dyDescent="0.2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" customHeight="1" x14ac:dyDescent="0.2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2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2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" customHeight="1" x14ac:dyDescent="0.25">
      <c r="A160" s="1"/>
      <c r="B160" s="281"/>
      <c r="C160" s="138" t="s">
        <v>70</v>
      </c>
      <c r="D160" s="91">
        <v>3754</v>
      </c>
      <c r="E160" s="301">
        <f>2.72271</f>
        <v>2.7227100000000002</v>
      </c>
      <c r="F160" s="301">
        <f>293.06801</f>
        <v>293.06801000000002</v>
      </c>
      <c r="G160" s="42">
        <f>D160-F160-F161</f>
        <v>3286.00425</v>
      </c>
      <c r="H160" s="301">
        <f>241.33498</f>
        <v>241.33498</v>
      </c>
      <c r="I160" s="1"/>
      <c r="J160" s="117"/>
    </row>
    <row r="161" spans="1:10" ht="14.1" customHeight="1" x14ac:dyDescent="0.25">
      <c r="A161" s="1"/>
      <c r="B161" s="281"/>
      <c r="C161" s="133" t="s">
        <v>50</v>
      </c>
      <c r="D161" s="175"/>
      <c r="E161" s="148">
        <f>52.93388</f>
        <v>52.933880000000002</v>
      </c>
      <c r="F161" s="148">
        <f>174.92774</f>
        <v>174.92774</v>
      </c>
      <c r="G161" s="219"/>
      <c r="H161" s="148">
        <f>252.44511</f>
        <v>252.44511</v>
      </c>
      <c r="I161" s="1"/>
      <c r="J161" s="117"/>
    </row>
    <row r="162" spans="1:10" ht="15.6" customHeight="1" x14ac:dyDescent="0.2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12.52374</f>
        <v>12.52374</v>
      </c>
      <c r="G162" s="166">
        <f>D162-F162</f>
        <v>187.47626</v>
      </c>
      <c r="H162" s="166">
        <f>21.25976</f>
        <v>21.25976</v>
      </c>
      <c r="I162" s="1"/>
      <c r="J162" s="117"/>
    </row>
    <row r="163" spans="1:10" ht="14.1" customHeight="1" x14ac:dyDescent="0.25">
      <c r="A163" s="65"/>
      <c r="B163" s="75"/>
      <c r="C163" s="174" t="s">
        <v>72</v>
      </c>
      <c r="D163" s="175">
        <v>5630</v>
      </c>
      <c r="E163" s="175">
        <f>E164+E165+E166</f>
        <v>3.7864199999999997</v>
      </c>
      <c r="F163" s="175">
        <f>F164+F165+F166</f>
        <v>69.917000000000002</v>
      </c>
      <c r="G163" s="175">
        <f>D163-F163</f>
        <v>5560.0829999999996</v>
      </c>
      <c r="H163" s="175">
        <f>H164+H165+H166</f>
        <v>67.134839999999997</v>
      </c>
      <c r="I163" s="65"/>
      <c r="J163" s="111"/>
    </row>
    <row r="164" spans="1:10" ht="14.1" customHeight="1" x14ac:dyDescent="0.25">
      <c r="A164" s="192"/>
      <c r="B164" s="176"/>
      <c r="C164" s="177" t="s">
        <v>73</v>
      </c>
      <c r="D164" s="123"/>
      <c r="E164" s="123">
        <f>1.65592</f>
        <v>1.6559200000000001</v>
      </c>
      <c r="F164" s="123">
        <f>23.511</f>
        <v>23.510999999999999</v>
      </c>
      <c r="G164" s="123"/>
      <c r="H164" s="123">
        <f>24.3755</f>
        <v>24.375499999999999</v>
      </c>
      <c r="I164" s="181"/>
      <c r="J164" s="126"/>
    </row>
    <row r="165" spans="1:10" ht="14.1" customHeight="1" x14ac:dyDescent="0.25">
      <c r="A165" s="192"/>
      <c r="B165" s="176"/>
      <c r="C165" s="177" t="s">
        <v>74</v>
      </c>
      <c r="D165" s="123"/>
      <c r="E165" s="123">
        <f>0.6864</f>
        <v>0.68640000000000001</v>
      </c>
      <c r="F165" s="123">
        <f>34.49288</f>
        <v>34.49288</v>
      </c>
      <c r="G165" s="123"/>
      <c r="H165" s="123">
        <f>24.77662</f>
        <v>24.776620000000001</v>
      </c>
      <c r="I165" s="181"/>
      <c r="J165" s="182"/>
    </row>
    <row r="166" spans="1:10" ht="14.1" customHeight="1" x14ac:dyDescent="0.25">
      <c r="A166" s="192"/>
      <c r="B166" s="176"/>
      <c r="C166" s="183" t="s">
        <v>75</v>
      </c>
      <c r="D166" s="186"/>
      <c r="E166" s="186">
        <f>1.4441</f>
        <v>1.4440999999999999</v>
      </c>
      <c r="F166" s="186">
        <f>11.91312</f>
        <v>11.913119999999999</v>
      </c>
      <c r="G166" s="186"/>
      <c r="H166" s="186">
        <f>17.98272</f>
        <v>17.98272</v>
      </c>
      <c r="I166" s="181"/>
      <c r="J166" s="182"/>
    </row>
    <row r="167" spans="1:10" ht="14.1" customHeight="1" x14ac:dyDescent="0.2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2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59.443010000000001</v>
      </c>
      <c r="F169" s="188">
        <f>F160+F161+F162+F163+F167+F168</f>
        <v>550.91245000000004</v>
      </c>
      <c r="G169" s="188">
        <f>D169-F169</f>
        <v>9124.0875500000002</v>
      </c>
      <c r="H169" s="188">
        <f>H160+H161+H162+H163+H167+H168</f>
        <v>582.17469000000006</v>
      </c>
      <c r="I169" s="159"/>
      <c r="J169" s="155"/>
    </row>
    <row r="170" spans="1:10" ht="42" customHeight="1" x14ac:dyDescent="0.2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2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2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2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81"/>
      <c r="C189" s="90" t="s">
        <v>4</v>
      </c>
      <c r="D189" s="124">
        <v>45561</v>
      </c>
      <c r="E189" s="124"/>
      <c r="F189" s="124">
        <f>36.48809</f>
        <v>36.48809</v>
      </c>
      <c r="G189" s="124">
        <f>13679.42733</f>
        <v>13679.42733</v>
      </c>
      <c r="H189" s="124">
        <f>D189-G189</f>
        <v>31881.572670000001</v>
      </c>
      <c r="I189" s="124">
        <f>15869.06452</f>
        <v>15869.06452</v>
      </c>
      <c r="J189" s="117"/>
    </row>
    <row r="190" spans="1:10" ht="15" customHeight="1" x14ac:dyDescent="0.25">
      <c r="A190" s="1"/>
      <c r="B190" s="281"/>
      <c r="C190" s="90" t="s">
        <v>63</v>
      </c>
      <c r="D190" s="124">
        <v>100</v>
      </c>
      <c r="E190" s="124"/>
      <c r="F190" s="124">
        <f>0.05267</f>
        <v>5.2670000000000002E-2</v>
      </c>
      <c r="G190" s="124">
        <f>3.25342</f>
        <v>3.2534200000000002</v>
      </c>
      <c r="H190" s="124">
        <f>D190-G190</f>
        <v>96.746579999999994</v>
      </c>
      <c r="I190" s="124">
        <f>3.78294</f>
        <v>3.78294</v>
      </c>
      <c r="J190" s="117"/>
    </row>
    <row r="191" spans="1:10" ht="15.75" customHeight="1" x14ac:dyDescent="0.2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2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36.540759999999999</v>
      </c>
      <c r="G192" s="190">
        <f>SUM(G189:G191)</f>
        <v>13682.68075</v>
      </c>
      <c r="H192" s="190">
        <f>D192-G192</f>
        <v>32024.31925</v>
      </c>
      <c r="I192" s="190">
        <f>SUM(I189:I191)</f>
        <v>15872.847459999999</v>
      </c>
      <c r="J192" s="117"/>
    </row>
    <row r="193" spans="1:10" ht="12" customHeight="1" x14ac:dyDescent="0.2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2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81"/>
      <c r="C202" s="90" t="s">
        <v>112</v>
      </c>
      <c r="D202" s="124">
        <v>3202</v>
      </c>
      <c r="E202" s="72">
        <f>E203+E204</f>
        <v>89.343639999999994</v>
      </c>
      <c r="F202" s="72">
        <f>F203+F204</f>
        <v>1485.3651800000002</v>
      </c>
      <c r="G202" s="72">
        <f>D202-F202</f>
        <v>1716.6348199999998</v>
      </c>
      <c r="H202" s="72">
        <f>H203+H204</f>
        <v>867.81398999999999</v>
      </c>
      <c r="I202" s="275"/>
      <c r="J202" s="117"/>
    </row>
    <row r="203" spans="1:10" ht="15" customHeight="1" x14ac:dyDescent="0.25">
      <c r="A203" s="1"/>
      <c r="B203" s="281"/>
      <c r="C203" s="172" t="s">
        <v>8</v>
      </c>
      <c r="D203" s="124"/>
      <c r="E203" s="72">
        <f>61.75416</f>
        <v>61.754159999999999</v>
      </c>
      <c r="F203" s="72">
        <f>1181.93782</f>
        <v>1181.9378200000001</v>
      </c>
      <c r="G203" s="72"/>
      <c r="H203" s="72">
        <f>559.69305</f>
        <v>559.69304999999997</v>
      </c>
      <c r="I203" s="275"/>
      <c r="J203" s="117"/>
    </row>
    <row r="204" spans="1:10" ht="15" customHeight="1" x14ac:dyDescent="0.25">
      <c r="A204" s="1"/>
      <c r="B204" s="281"/>
      <c r="C204" s="172" t="s">
        <v>63</v>
      </c>
      <c r="D204" s="124"/>
      <c r="E204" s="124">
        <f>27.58948</f>
        <v>27.589479999999998</v>
      </c>
      <c r="F204" s="124">
        <f>303.42736</f>
        <v>303.42736000000002</v>
      </c>
      <c r="G204" s="168"/>
      <c r="H204" s="124">
        <f>308.12094</f>
        <v>308.12094000000002</v>
      </c>
      <c r="I204" s="275"/>
      <c r="J204" s="117"/>
    </row>
    <row r="205" spans="1:10" ht="15" customHeight="1" x14ac:dyDescent="0.25">
      <c r="A205" s="1"/>
      <c r="B205" s="281"/>
      <c r="C205" s="90" t="s">
        <v>113</v>
      </c>
      <c r="D205" s="124">
        <v>3704</v>
      </c>
      <c r="E205" s="72">
        <f>92.53063</f>
        <v>92.530630000000002</v>
      </c>
      <c r="F205" s="72">
        <f>1105.09384</f>
        <v>1105.09384</v>
      </c>
      <c r="G205" s="72">
        <f>D205-F205</f>
        <v>2598.90616</v>
      </c>
      <c r="H205" s="72">
        <f>893.16726</f>
        <v>893.16726000000006</v>
      </c>
      <c r="I205" s="275"/>
      <c r="J205" s="117"/>
    </row>
    <row r="206" spans="1:10" ht="16.5" customHeight="1" x14ac:dyDescent="0.25">
      <c r="A206" s="1"/>
      <c r="B206" s="281"/>
      <c r="C206" s="179" t="s">
        <v>82</v>
      </c>
      <c r="D206" s="190">
        <f>D205+D202</f>
        <v>6906</v>
      </c>
      <c r="E206" s="190">
        <f>SUM(E202,E205)</f>
        <v>181.87427</v>
      </c>
      <c r="F206" s="190">
        <f>SUM(F202,F205)</f>
        <v>2590.4590200000002</v>
      </c>
      <c r="G206" s="190">
        <f>D206-F206</f>
        <v>4315.5409799999998</v>
      </c>
      <c r="H206" s="190">
        <f>SUM(H202,H205)</f>
        <v>1760.98125</v>
      </c>
      <c r="I206" s="275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2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81"/>
      <c r="C215" s="90" t="s">
        <v>112</v>
      </c>
      <c r="D215" s="124">
        <v>5516</v>
      </c>
      <c r="E215" s="72">
        <f>E216+E217</f>
        <v>190.815</v>
      </c>
      <c r="F215" s="72">
        <f>F216+F217</f>
        <v>1897.02619</v>
      </c>
      <c r="G215" s="72">
        <f>D215-F215</f>
        <v>3618.97381</v>
      </c>
      <c r="H215" s="72">
        <f>H216+H217</f>
        <v>970.44951000000003</v>
      </c>
      <c r="I215" s="275"/>
      <c r="J215" s="117"/>
    </row>
    <row r="216" spans="1:10" ht="15" customHeight="1" x14ac:dyDescent="0.25">
      <c r="A216" s="1"/>
      <c r="B216" s="281"/>
      <c r="C216" s="172" t="s">
        <v>8</v>
      </c>
      <c r="D216" s="124"/>
      <c r="E216" s="72">
        <f>179.8664</f>
        <v>179.8664</v>
      </c>
      <c r="F216" s="72">
        <f>1731.86977</f>
        <v>1731.86977</v>
      </c>
      <c r="G216" s="72"/>
      <c r="H216" s="72">
        <f>811.70835</f>
        <v>811.70835</v>
      </c>
      <c r="I216" s="275"/>
      <c r="J216" s="117"/>
    </row>
    <row r="217" spans="1:10" ht="15" customHeight="1" x14ac:dyDescent="0.25">
      <c r="A217" s="1"/>
      <c r="B217" s="281"/>
      <c r="C217" s="172" t="s">
        <v>63</v>
      </c>
      <c r="D217" s="124"/>
      <c r="E217" s="124">
        <f>10.9486</f>
        <v>10.948600000000001</v>
      </c>
      <c r="F217" s="124">
        <f>165.15642</f>
        <v>165.15642</v>
      </c>
      <c r="G217" s="168"/>
      <c r="H217" s="124">
        <f>158.74116</f>
        <v>158.74116000000001</v>
      </c>
      <c r="I217" s="275"/>
      <c r="J217" s="117"/>
    </row>
    <row r="218" spans="1:10" ht="15" customHeight="1" x14ac:dyDescent="0.25">
      <c r="A218" s="1"/>
      <c r="B218" s="281"/>
      <c r="C218" s="90" t="s">
        <v>113</v>
      </c>
      <c r="D218" s="124">
        <v>3232</v>
      </c>
      <c r="E218" s="72">
        <f>59.05023</f>
        <v>59.050229999999999</v>
      </c>
      <c r="F218" s="72">
        <f>1113.62634</f>
        <v>1113.62634</v>
      </c>
      <c r="G218" s="72">
        <f>D218-F218</f>
        <v>2118.3736600000002</v>
      </c>
      <c r="H218" s="72">
        <f>808.32667</f>
        <v>808.32667000000004</v>
      </c>
      <c r="I218" s="275"/>
      <c r="J218" s="117"/>
    </row>
    <row r="219" spans="1:10" ht="16.5" customHeight="1" x14ac:dyDescent="0.25">
      <c r="A219" s="1"/>
      <c r="B219" s="281"/>
      <c r="C219" s="179" t="s">
        <v>82</v>
      </c>
      <c r="D219" s="190">
        <f>D218+D215</f>
        <v>8748</v>
      </c>
      <c r="E219" s="190">
        <f>SUM(E215,E218)</f>
        <v>249.86523</v>
      </c>
      <c r="F219" s="190">
        <f>SUM(F215,F218)</f>
        <v>3010.6525300000003</v>
      </c>
      <c r="G219" s="190">
        <f>D219-F219</f>
        <v>5737.3474699999997</v>
      </c>
      <c r="H219" s="190">
        <f>SUM(H215,H218)</f>
        <v>1778.7761800000001</v>
      </c>
      <c r="I219" s="275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6" customHeight="1" x14ac:dyDescent="0.2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" customHeight="1" x14ac:dyDescent="0.2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" customHeight="1" x14ac:dyDescent="0.2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2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2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" customHeight="1" x14ac:dyDescent="0.2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2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88</v>
      </c>
      <c r="D237" s="124">
        <v>800</v>
      </c>
      <c r="E237" s="124">
        <f>3.6204</f>
        <v>3.6204000000000001</v>
      </c>
      <c r="F237" s="124">
        <f>30.79742</f>
        <v>30.797419999999999</v>
      </c>
      <c r="G237" s="124">
        <f>D237-F237</f>
        <v>769.20258000000001</v>
      </c>
      <c r="H237" s="124">
        <f>81.37486</f>
        <v>81.374859999999998</v>
      </c>
      <c r="I237" s="65"/>
      <c r="J237" s="271"/>
    </row>
    <row r="238" spans="1:10" ht="14.1" customHeight="1" x14ac:dyDescent="0.25">
      <c r="A238" s="1"/>
      <c r="B238" s="281"/>
      <c r="C238" s="90" t="s">
        <v>89</v>
      </c>
      <c r="D238" s="273">
        <v>706</v>
      </c>
      <c r="E238" s="124">
        <f>5.09806</f>
        <v>5.0980600000000003</v>
      </c>
      <c r="F238" s="124">
        <f>108.17741</f>
        <v>108.17740999999999</v>
      </c>
      <c r="G238" s="124">
        <f>D238-F238</f>
        <v>597.82258999999999</v>
      </c>
      <c r="H238" s="124">
        <f>181.5846</f>
        <v>181.58459999999999</v>
      </c>
      <c r="I238" s="173"/>
      <c r="J238" s="111"/>
    </row>
    <row r="239" spans="1:10" ht="16.5" customHeight="1" x14ac:dyDescent="0.2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0.05414</f>
        <v>5.4140000000000001E-2</v>
      </c>
      <c r="I239" s="65"/>
      <c r="J239" s="276"/>
    </row>
    <row r="240" spans="1:10" ht="18.75" customHeight="1" x14ac:dyDescent="0.25">
      <c r="A240" s="65"/>
      <c r="B240" s="277"/>
      <c r="C240" s="146" t="s">
        <v>90</v>
      </c>
      <c r="D240" s="249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0.018</f>
        <v>1.7999999999999999E-2</v>
      </c>
      <c r="I240" s="309"/>
      <c r="J240" s="117"/>
    </row>
    <row r="241" spans="1:10" ht="14.1" customHeight="1" x14ac:dyDescent="0.25">
      <c r="A241" s="1"/>
      <c r="B241" s="281"/>
      <c r="C241" s="179" t="s">
        <v>82</v>
      </c>
      <c r="D241" s="5">
        <f>D226</f>
        <v>1516</v>
      </c>
      <c r="E241" s="190">
        <f>SUM(E237:E240)</f>
        <v>8.7184600000000003</v>
      </c>
      <c r="F241" s="190">
        <f>SUM(F237:F240)</f>
        <v>139.01982999999998</v>
      </c>
      <c r="G241" s="190">
        <f>D241-F241</f>
        <v>1376.98017</v>
      </c>
      <c r="H241" s="190">
        <f>H237+H238+H239+H240</f>
        <v>263.03159999999997</v>
      </c>
      <c r="I241" s="1"/>
      <c r="J241" s="117"/>
    </row>
    <row r="242" spans="1:10" ht="14.1" customHeight="1" x14ac:dyDescent="0.2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108</v>
      </c>
    </row>
    <row r="245" spans="1:10" ht="14.1" customHeight="1" x14ac:dyDescent="0.25">
      <c r="A245" s="1" t="s">
        <v>108</v>
      </c>
    </row>
    <row r="246" spans="1:10" ht="30" customHeight="1" x14ac:dyDescent="0.3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2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2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2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" customHeight="1" x14ac:dyDescent="0.2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35" customHeight="1" x14ac:dyDescent="0.2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35" customHeight="1" x14ac:dyDescent="0.2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2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2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" customHeight="1" x14ac:dyDescent="0.2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83.841030000000003</v>
      </c>
      <c r="G262" s="280">
        <f t="shared" si="15"/>
        <v>504.13090999999997</v>
      </c>
      <c r="H262" s="280">
        <f>H266+H265+H264+H263</f>
        <v>14710.86909</v>
      </c>
      <c r="I262" s="280">
        <f t="shared" si="15"/>
        <v>1003.05106</v>
      </c>
      <c r="J262" s="127"/>
    </row>
    <row r="263" spans="1:10" ht="14.1" customHeight="1" x14ac:dyDescent="0.25">
      <c r="A263" s="223"/>
      <c r="B263" s="69"/>
      <c r="C263" s="282" t="s">
        <v>98</v>
      </c>
      <c r="D263" s="283">
        <v>7457</v>
      </c>
      <c r="E263" s="283"/>
      <c r="F263" s="284">
        <f>31.89375</f>
        <v>31.893750000000001</v>
      </c>
      <c r="G263" s="284">
        <f>129.21822</f>
        <v>129.21822</v>
      </c>
      <c r="H263" s="284">
        <f t="shared" ref="H263:H268" si="16">D263-G263</f>
        <v>7327.7817800000003</v>
      </c>
      <c r="I263" s="284">
        <f>437.39641</f>
        <v>437.39641</v>
      </c>
      <c r="J263" s="127"/>
    </row>
    <row r="264" spans="1:10" ht="14.1" customHeight="1" x14ac:dyDescent="0.25">
      <c r="A264" s="223"/>
      <c r="B264" s="69"/>
      <c r="C264" s="286" t="s">
        <v>21</v>
      </c>
      <c r="D264" s="283">
        <v>1941</v>
      </c>
      <c r="E264" s="283"/>
      <c r="F264" s="284">
        <f>11.745</f>
        <v>11.744999999999999</v>
      </c>
      <c r="G264" s="284">
        <f>11.745</f>
        <v>11.744999999999999</v>
      </c>
      <c r="H264" s="284">
        <f t="shared" si="16"/>
        <v>1929.2550000000001</v>
      </c>
      <c r="I264" s="284">
        <f>65.205</f>
        <v>65.204999999999998</v>
      </c>
      <c r="J264" s="127"/>
    </row>
    <row r="265" spans="1:10" ht="14.1" customHeight="1" x14ac:dyDescent="0.25">
      <c r="A265" s="223"/>
      <c r="B265" s="69"/>
      <c r="C265" s="286" t="s">
        <v>95</v>
      </c>
      <c r="D265" s="283">
        <v>1338</v>
      </c>
      <c r="E265" s="283"/>
      <c r="F265" s="284">
        <f>22.59828</f>
        <v>22.598279999999999</v>
      </c>
      <c r="G265" s="284">
        <f>284.41289</f>
        <v>284.41289</v>
      </c>
      <c r="H265" s="284">
        <f t="shared" si="16"/>
        <v>1053.5871099999999</v>
      </c>
      <c r="I265" s="284">
        <f>274.51676</f>
        <v>274.51675999999998</v>
      </c>
      <c r="J265" s="127"/>
    </row>
    <row r="266" spans="1:10" ht="14.1" customHeight="1" x14ac:dyDescent="0.25">
      <c r="A266" s="223"/>
      <c r="B266" s="69"/>
      <c r="C266" s="288" t="s">
        <v>118</v>
      </c>
      <c r="D266" s="289">
        <v>4479</v>
      </c>
      <c r="E266" s="289"/>
      <c r="F266" s="284">
        <f>17.604</f>
        <v>17.603999999999999</v>
      </c>
      <c r="G266" s="284">
        <f>78.7548</f>
        <v>78.754800000000003</v>
      </c>
      <c r="H266" s="284">
        <f t="shared" si="16"/>
        <v>4400.2452000000003</v>
      </c>
      <c r="I266" s="284">
        <f>225.93289</f>
        <v>225.93288999999999</v>
      </c>
      <c r="J266" s="127"/>
    </row>
    <row r="267" spans="1:10" ht="14.1" customHeight="1" x14ac:dyDescent="0.25">
      <c r="A267" s="223"/>
      <c r="B267" s="69"/>
      <c r="C267" s="291" t="s">
        <v>56</v>
      </c>
      <c r="D267" s="292">
        <v>5500</v>
      </c>
      <c r="E267" s="292"/>
      <c r="F267" s="294">
        <f>0</f>
        <v>0</v>
      </c>
      <c r="G267" s="294">
        <f>27.612</f>
        <v>27.611999999999998</v>
      </c>
      <c r="H267" s="294">
        <f t="shared" si="16"/>
        <v>5472.3879999999999</v>
      </c>
      <c r="I267" s="294">
        <f>19.88</f>
        <v>19.88</v>
      </c>
      <c r="J267" s="127"/>
    </row>
    <row r="268" spans="1:10" ht="14.1" customHeight="1" x14ac:dyDescent="0.25">
      <c r="A268" s="223"/>
      <c r="B268" s="69"/>
      <c r="C268" s="274" t="s">
        <v>22</v>
      </c>
      <c r="D268" s="278">
        <v>8000</v>
      </c>
      <c r="E268" s="278"/>
      <c r="F268" s="295">
        <f>F270+F269</f>
        <v>8.1851299999999991</v>
      </c>
      <c r="G268" s="295">
        <f>G270+G269</f>
        <v>681.99405000000002</v>
      </c>
      <c r="H268" s="295">
        <f t="shared" si="16"/>
        <v>7318.0059499999998</v>
      </c>
      <c r="I268" s="295">
        <f>I270+I269</f>
        <v>959.2657099999999</v>
      </c>
      <c r="J268" s="127"/>
    </row>
    <row r="269" spans="1:10" ht="14.1" customHeight="1" x14ac:dyDescent="0.2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304.11017</f>
        <v>304.11016999999998</v>
      </c>
      <c r="H269" s="284"/>
      <c r="I269" s="284">
        <f>446.46788</f>
        <v>446.46787999999998</v>
      </c>
      <c r="J269" s="127"/>
    </row>
    <row r="270" spans="1:10" ht="14.1" customHeight="1" x14ac:dyDescent="0.25">
      <c r="A270" s="223"/>
      <c r="B270" s="69"/>
      <c r="C270" s="299" t="s">
        <v>99</v>
      </c>
      <c r="D270" s="300"/>
      <c r="E270" s="302"/>
      <c r="F270" s="303">
        <f>8.18513</f>
        <v>8.1851299999999991</v>
      </c>
      <c r="G270" s="303">
        <f>377.88388</f>
        <v>377.88387999999998</v>
      </c>
      <c r="H270" s="303"/>
      <c r="I270" s="303">
        <f>512.79783</f>
        <v>512.79782999999998</v>
      </c>
      <c r="J270" s="127"/>
    </row>
    <row r="271" spans="1:10" ht="14.1" customHeight="1" x14ac:dyDescent="0.2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0.0135</f>
        <v>1.35E-2</v>
      </c>
      <c r="J271" s="127"/>
    </row>
    <row r="272" spans="1:10" ht="14.1" customHeight="1" x14ac:dyDescent="0.25">
      <c r="A272" s="223"/>
      <c r="B272" s="69"/>
      <c r="C272" s="304" t="s">
        <v>100</v>
      </c>
      <c r="D272" s="307"/>
      <c r="E272" s="308"/>
      <c r="F272" s="294">
        <f>0.3126</f>
        <v>0.31259999999999999</v>
      </c>
      <c r="G272" s="294">
        <f>1.43417</f>
        <v>1.4341699999999999</v>
      </c>
      <c r="H272" s="294">
        <f>D272-G272</f>
        <v>-1.4341699999999999</v>
      </c>
      <c r="I272" s="294">
        <f>3.67725</f>
        <v>3.6772499999999999</v>
      </c>
      <c r="J272" s="127"/>
    </row>
    <row r="273" spans="1:10" ht="19.5" customHeight="1" x14ac:dyDescent="0.2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92.338760000000008</v>
      </c>
      <c r="G273" s="312">
        <f t="shared" si="17"/>
        <v>1215.1711299999999</v>
      </c>
      <c r="H273" s="312">
        <f>H262+H267+H268+H271+H272</f>
        <v>27512.828869999998</v>
      </c>
      <c r="I273" s="312">
        <f t="shared" si="17"/>
        <v>1985.88752</v>
      </c>
      <c r="J273" s="127"/>
    </row>
    <row r="274" spans="1:10" ht="14.1" customHeight="1" x14ac:dyDescent="0.2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108</v>
      </c>
      <c r="D279" s="152"/>
    </row>
    <row r="280" spans="1:10" ht="14.1" customHeight="1" x14ac:dyDescent="0.2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" customHeight="1" x14ac:dyDescent="0.2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8" t="s">
        <v>116</v>
      </c>
      <c r="D288" s="328"/>
      <c r="E288" s="328"/>
      <c r="F288" s="328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2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" customHeight="1" x14ac:dyDescent="0.2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925.1269299999999</v>
      </c>
      <c r="G294" s="82">
        <f>D294-F294</f>
        <v>-146.1269299999999</v>
      </c>
      <c r="H294" s="25">
        <f>SUM(H295:H296)</f>
        <v>1023.20588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684.21575</f>
        <v>684.21574999999996</v>
      </c>
      <c r="G295" s="199"/>
      <c r="H295" s="198">
        <f>778.94708</f>
        <v>778.94708000000003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" customHeight="1" x14ac:dyDescent="0.2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647.00909999999999</v>
      </c>
      <c r="G297" s="82">
        <f>D297-F297</f>
        <v>131.99090000000001</v>
      </c>
      <c r="H297" s="25">
        <f>SUM(H298:H299)</f>
        <v>986.35825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508.359</f>
        <v>508.35899999999998</v>
      </c>
      <c r="G298" s="94"/>
      <c r="H298" s="29">
        <f>763.96923</f>
        <v>763.96923000000004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8"/>
      <c r="E299" s="29">
        <f>0</f>
        <v>0</v>
      </c>
      <c r="F299" s="29">
        <f>138.6501</f>
        <v>138.65010000000001</v>
      </c>
      <c r="G299" s="105"/>
      <c r="H299" s="29">
        <f>222.38902</f>
        <v>222.38901999999999</v>
      </c>
      <c r="I299" s="145"/>
      <c r="J299" s="127"/>
    </row>
    <row r="300" spans="1:10" ht="14.1" customHeight="1" x14ac:dyDescent="0.25">
      <c r="A300" s="223"/>
      <c r="B300" s="69"/>
      <c r="C300" s="291" t="s">
        <v>107</v>
      </c>
      <c r="D300" s="9">
        <v>780</v>
      </c>
      <c r="E300" s="34">
        <f>SUM(E301:E302)</f>
        <v>45.1325</v>
      </c>
      <c r="F300" s="34">
        <f>SUM(F301:F302)</f>
        <v>100.46390000000001</v>
      </c>
      <c r="G300" s="82">
        <f>D300-F300</f>
        <v>679.53610000000003</v>
      </c>
      <c r="H300" s="34">
        <f>SUM(H301:H302)</f>
        <v>132.92805999999999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37.2415</f>
        <v>37.241500000000002</v>
      </c>
      <c r="F301" s="29">
        <f>79.546</f>
        <v>79.546000000000006</v>
      </c>
      <c r="G301" s="94"/>
      <c r="H301" s="29">
        <f>98.722</f>
        <v>98.721999999999994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8"/>
      <c r="E302" s="29">
        <f>7.891</f>
        <v>7.891</v>
      </c>
      <c r="F302" s="29">
        <f>20.9179</f>
        <v>20.917899999999999</v>
      </c>
      <c r="G302" s="105"/>
      <c r="H302" s="29">
        <f>34.20606</f>
        <v>34.206060000000001</v>
      </c>
      <c r="I302" s="145"/>
      <c r="J302" s="127"/>
    </row>
    <row r="303" spans="1:10" ht="14.1" customHeight="1" x14ac:dyDescent="0.2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45.1325</v>
      </c>
      <c r="F304" s="39">
        <f>F294+F297+F300+F303</f>
        <v>1672.5999299999999</v>
      </c>
      <c r="G304" s="40">
        <f>D304-F304</f>
        <v>665.40007000000014</v>
      </c>
      <c r="H304" s="39">
        <f>H294+H297+H300+H303</f>
        <v>2142.4921899999999</v>
      </c>
      <c r="I304" s="26"/>
      <c r="J304" s="127"/>
    </row>
    <row r="305" spans="1:10" ht="42" customHeight="1" x14ac:dyDescent="0.25">
      <c r="A305" s="223"/>
      <c r="B305" s="230"/>
      <c r="C305" s="330" t="s">
        <v>111</v>
      </c>
      <c r="D305" s="330"/>
      <c r="E305" s="330"/>
      <c r="F305" s="330"/>
      <c r="G305" s="330"/>
      <c r="H305" s="330"/>
      <c r="I305" s="330"/>
      <c r="J305" s="331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108</v>
      </c>
      <c r="D307" s="152"/>
    </row>
    <row r="308" spans="1:10" ht="15.6" customHeight="1" x14ac:dyDescent="0.2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8.95" customHeight="1" x14ac:dyDescent="0.2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8.95" customHeight="1" x14ac:dyDescent="0.2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8" t="s">
        <v>155</v>
      </c>
      <c r="D316" s="328"/>
      <c r="E316" s="328"/>
      <c r="F316" s="328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2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600000000000001" customHeight="1" x14ac:dyDescent="0.25">
      <c r="A322" s="223"/>
      <c r="B322" s="69"/>
      <c r="C322" s="236" t="s">
        <v>133</v>
      </c>
      <c r="D322" s="237">
        <v>238</v>
      </c>
      <c r="E322" s="29">
        <f>0.6807</f>
        <v>0.68069999999999997</v>
      </c>
      <c r="F322" s="29">
        <f>56.36164</f>
        <v>56.361640000000001</v>
      </c>
      <c r="G322" s="238">
        <f>D322-F322</f>
        <v>181.63836000000001</v>
      </c>
      <c r="H322" s="29">
        <f>59.29783</f>
        <v>59.297829999999998</v>
      </c>
      <c r="I322" s="242"/>
      <c r="J322" s="127"/>
    </row>
    <row r="323" spans="1:10" ht="17.45" customHeight="1" x14ac:dyDescent="0.25">
      <c r="A323" s="223"/>
      <c r="B323" s="69"/>
      <c r="C323" s="239" t="s">
        <v>134</v>
      </c>
      <c r="D323" s="240">
        <v>21237</v>
      </c>
      <c r="E323" s="29">
        <f>7.35775</f>
        <v>7.3577500000000002</v>
      </c>
      <c r="F323" s="29">
        <f>116.80998</f>
        <v>116.80998</v>
      </c>
      <c r="G323" s="241">
        <f>D323-F323</f>
        <v>21120.190020000002</v>
      </c>
      <c r="H323" s="29">
        <f>138.22057</f>
        <v>138.22057000000001</v>
      </c>
      <c r="I323" s="26"/>
      <c r="J323" s="127"/>
    </row>
    <row r="324" spans="1:10" ht="17.100000000000001" customHeight="1" x14ac:dyDescent="0.25">
      <c r="A324" s="223"/>
      <c r="B324" s="69"/>
      <c r="C324" s="310" t="s">
        <v>82</v>
      </c>
      <c r="D324" s="229">
        <f>D322+D323</f>
        <v>21475</v>
      </c>
      <c r="E324" s="39">
        <f>E323+E322</f>
        <v>8.038450000000001</v>
      </c>
      <c r="F324" s="39">
        <f>F323+F322</f>
        <v>173.17161999999999</v>
      </c>
      <c r="G324" s="39">
        <f>G323+G322</f>
        <v>21301.828380000003</v>
      </c>
      <c r="H324" s="39">
        <f>H323+H322</f>
        <v>197.51840000000001</v>
      </c>
      <c r="I324" s="26"/>
      <c r="J324" s="127"/>
    </row>
    <row r="325" spans="1:10" ht="22.5" customHeight="1" x14ac:dyDescent="0.25">
      <c r="A325" s="223"/>
      <c r="B325" s="69"/>
      <c r="C325" s="326" t="s">
        <v>156</v>
      </c>
      <c r="D325" s="326"/>
      <c r="E325" s="326"/>
      <c r="F325" s="326"/>
      <c r="G325" s="326"/>
      <c r="H325" s="326"/>
      <c r="I325" s="326"/>
      <c r="J325" s="327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108</v>
      </c>
      <c r="D328" s="152"/>
    </row>
    <row r="329" spans="1:10" ht="0" hidden="1" customHeight="1" x14ac:dyDescent="0.2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2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5" t="s">
        <v>128</v>
      </c>
      <c r="D337" s="325"/>
      <c r="E337" s="325"/>
      <c r="F337" s="325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2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2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6" t="s">
        <v>135</v>
      </c>
      <c r="D346" s="326"/>
      <c r="E346" s="326"/>
      <c r="F346" s="326"/>
      <c r="G346" s="326"/>
      <c r="H346" s="326"/>
      <c r="I346" s="326"/>
      <c r="J346" s="327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11&amp;R16.03.2026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2026-03-17T09:39:08Z</dcterms:modified>
</cp:coreProperties>
</file>