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lmal\03 - Ukestatistikk\"/>
    </mc:Choice>
  </mc:AlternateContent>
  <xr:revisionPtr revIDLastSave="0" documentId="13_ncr:1_{3E3AE610-479A-4E8E-AA29-7959731F5C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G35" i="1"/>
  <c r="G30" i="1"/>
  <c r="G29" i="1"/>
  <c r="H29" i="1" s="1"/>
  <c r="G119" i="1"/>
  <c r="H119" i="1" s="1"/>
  <c r="G125" i="1"/>
  <c r="H125" i="1" s="1"/>
  <c r="G124" i="1"/>
  <c r="H124" i="1" s="1"/>
  <c r="G123" i="1"/>
  <c r="H123" i="1" s="1"/>
  <c r="G27" i="1"/>
  <c r="H27" i="1" s="1"/>
  <c r="H30" i="1"/>
  <c r="H345" i="1"/>
  <c r="F345" i="1"/>
  <c r="E345" i="1"/>
  <c r="D345" i="1"/>
  <c r="G344" i="1"/>
  <c r="G345" i="1" s="1"/>
  <c r="G343" i="1"/>
  <c r="E336" i="1"/>
  <c r="H324" i="1"/>
  <c r="D324" i="1"/>
  <c r="H323" i="1"/>
  <c r="F323" i="1"/>
  <c r="F324" i="1" s="1"/>
  <c r="E323" i="1"/>
  <c r="E324" i="1" s="1"/>
  <c r="H322" i="1"/>
  <c r="F322" i="1"/>
  <c r="G322" i="1" s="1"/>
  <c r="E322" i="1"/>
  <c r="E315" i="1"/>
  <c r="D304" i="1"/>
  <c r="H303" i="1"/>
  <c r="F303" i="1"/>
  <c r="G303" i="1" s="1"/>
  <c r="E303" i="1"/>
  <c r="H302" i="1"/>
  <c r="F302" i="1"/>
  <c r="E302" i="1"/>
  <c r="H301" i="1"/>
  <c r="F301" i="1"/>
  <c r="F300" i="1" s="1"/>
  <c r="G300" i="1" s="1"/>
  <c r="E301" i="1"/>
  <c r="H300" i="1"/>
  <c r="E300" i="1"/>
  <c r="H299" i="1"/>
  <c r="F299" i="1"/>
  <c r="E299" i="1"/>
  <c r="E297" i="1" s="1"/>
  <c r="H298" i="1"/>
  <c r="F298" i="1"/>
  <c r="F297" i="1" s="1"/>
  <c r="E298" i="1"/>
  <c r="H297" i="1"/>
  <c r="H296" i="1"/>
  <c r="H294" i="1" s="1"/>
  <c r="H304" i="1" s="1"/>
  <c r="F296" i="1"/>
  <c r="E296" i="1"/>
  <c r="H295" i="1"/>
  <c r="F295" i="1"/>
  <c r="E295" i="1"/>
  <c r="E294" i="1" s="1"/>
  <c r="F294" i="1"/>
  <c r="G294" i="1" s="1"/>
  <c r="D273" i="1"/>
  <c r="I272" i="1"/>
  <c r="G272" i="1"/>
  <c r="H272" i="1" s="1"/>
  <c r="F272" i="1"/>
  <c r="I271" i="1"/>
  <c r="H271" i="1"/>
  <c r="G271" i="1"/>
  <c r="F271" i="1"/>
  <c r="I270" i="1"/>
  <c r="I268" i="1" s="1"/>
  <c r="G270" i="1"/>
  <c r="F270" i="1"/>
  <c r="F268" i="1" s="1"/>
  <c r="I269" i="1"/>
  <c r="G269" i="1"/>
  <c r="F269" i="1"/>
  <c r="G268" i="1"/>
  <c r="H268" i="1" s="1"/>
  <c r="I267" i="1"/>
  <c r="G267" i="1"/>
  <c r="H267" i="1" s="1"/>
  <c r="F267" i="1"/>
  <c r="I266" i="1"/>
  <c r="G266" i="1"/>
  <c r="H266" i="1" s="1"/>
  <c r="H262" i="1" s="1"/>
  <c r="H273" i="1" s="1"/>
  <c r="F266" i="1"/>
  <c r="I265" i="1"/>
  <c r="I262" i="1" s="1"/>
  <c r="I273" i="1" s="1"/>
  <c r="G265" i="1"/>
  <c r="H265" i="1" s="1"/>
  <c r="F265" i="1"/>
  <c r="F262" i="1" s="1"/>
  <c r="I264" i="1"/>
  <c r="G264" i="1"/>
  <c r="H264" i="1" s="1"/>
  <c r="F264" i="1"/>
  <c r="I263" i="1"/>
  <c r="G263" i="1"/>
  <c r="H263" i="1" s="1"/>
  <c r="F263" i="1"/>
  <c r="G262" i="1"/>
  <c r="G273" i="1" s="1"/>
  <c r="E262" i="1"/>
  <c r="E273" i="1" s="1"/>
  <c r="D262" i="1"/>
  <c r="H254" i="1"/>
  <c r="F254" i="1"/>
  <c r="D251" i="1"/>
  <c r="D250" i="1"/>
  <c r="F241" i="1"/>
  <c r="D241" i="1"/>
  <c r="G241" i="1" s="1"/>
  <c r="H240" i="1"/>
  <c r="F240" i="1"/>
  <c r="G240" i="1" s="1"/>
  <c r="E240" i="1"/>
  <c r="H239" i="1"/>
  <c r="G239" i="1"/>
  <c r="F239" i="1"/>
  <c r="E239" i="1"/>
  <c r="H238" i="1"/>
  <c r="H241" i="1" s="1"/>
  <c r="F238" i="1"/>
  <c r="G238" i="1" s="1"/>
  <c r="E238" i="1"/>
  <c r="H237" i="1"/>
  <c r="G237" i="1"/>
  <c r="F237" i="1"/>
  <c r="E237" i="1"/>
  <c r="E241" i="1" s="1"/>
  <c r="D230" i="1"/>
  <c r="D219" i="1"/>
  <c r="H218" i="1"/>
  <c r="F218" i="1"/>
  <c r="G218" i="1" s="1"/>
  <c r="E218" i="1"/>
  <c r="H217" i="1"/>
  <c r="F217" i="1"/>
  <c r="F215" i="1" s="1"/>
  <c r="E217" i="1"/>
  <c r="H216" i="1"/>
  <c r="F216" i="1"/>
  <c r="E216" i="1"/>
  <c r="H215" i="1"/>
  <c r="H219" i="1" s="1"/>
  <c r="E215" i="1"/>
  <c r="E219" i="1" s="1"/>
  <c r="D206" i="1"/>
  <c r="H205" i="1"/>
  <c r="F205" i="1"/>
  <c r="G205" i="1" s="1"/>
  <c r="E205" i="1"/>
  <c r="H204" i="1"/>
  <c r="F204" i="1"/>
  <c r="E204" i="1"/>
  <c r="E202" i="1" s="1"/>
  <c r="E206" i="1" s="1"/>
  <c r="H203" i="1"/>
  <c r="H202" i="1" s="1"/>
  <c r="H206" i="1" s="1"/>
  <c r="F203" i="1"/>
  <c r="E203" i="1"/>
  <c r="F202" i="1"/>
  <c r="G202" i="1" s="1"/>
  <c r="E192" i="1"/>
  <c r="D192" i="1"/>
  <c r="I191" i="1"/>
  <c r="G191" i="1"/>
  <c r="H191" i="1" s="1"/>
  <c r="F191" i="1"/>
  <c r="I190" i="1"/>
  <c r="G190" i="1"/>
  <c r="H190" i="1" s="1"/>
  <c r="F190" i="1"/>
  <c r="I189" i="1"/>
  <c r="I192" i="1" s="1"/>
  <c r="G189" i="1"/>
  <c r="G192" i="1" s="1"/>
  <c r="H192" i="1" s="1"/>
  <c r="F189" i="1"/>
  <c r="F192" i="1" s="1"/>
  <c r="D169" i="1"/>
  <c r="H168" i="1"/>
  <c r="F168" i="1"/>
  <c r="G168" i="1" s="1"/>
  <c r="E168" i="1"/>
  <c r="H167" i="1"/>
  <c r="G167" i="1"/>
  <c r="F167" i="1"/>
  <c r="E167" i="1"/>
  <c r="H166" i="1"/>
  <c r="F166" i="1"/>
  <c r="E166" i="1"/>
  <c r="H165" i="1"/>
  <c r="F165" i="1"/>
  <c r="E165" i="1"/>
  <c r="H164" i="1"/>
  <c r="F164" i="1"/>
  <c r="F163" i="1" s="1"/>
  <c r="G163" i="1" s="1"/>
  <c r="E164" i="1"/>
  <c r="E163" i="1" s="1"/>
  <c r="H163" i="1"/>
  <c r="H162" i="1"/>
  <c r="F162" i="1"/>
  <c r="G162" i="1" s="1"/>
  <c r="E162" i="1"/>
  <c r="H161" i="1"/>
  <c r="H169" i="1" s="1"/>
  <c r="F161" i="1"/>
  <c r="E161" i="1"/>
  <c r="H160" i="1"/>
  <c r="F160" i="1"/>
  <c r="E160" i="1"/>
  <c r="I135" i="1"/>
  <c r="H135" i="1"/>
  <c r="G135" i="1"/>
  <c r="F135" i="1"/>
  <c r="I134" i="1"/>
  <c r="H134" i="1"/>
  <c r="G134" i="1"/>
  <c r="F134" i="1"/>
  <c r="H133" i="1"/>
  <c r="I132" i="1"/>
  <c r="G132" i="1"/>
  <c r="H132" i="1" s="1"/>
  <c r="F132" i="1"/>
  <c r="I131" i="1"/>
  <c r="G131" i="1"/>
  <c r="H131" i="1" s="1"/>
  <c r="F131" i="1"/>
  <c r="I130" i="1"/>
  <c r="G130" i="1"/>
  <c r="H130" i="1" s="1"/>
  <c r="F130" i="1"/>
  <c r="I129" i="1"/>
  <c r="G129" i="1"/>
  <c r="H129" i="1" s="1"/>
  <c r="F129" i="1"/>
  <c r="I128" i="1"/>
  <c r="I126" i="1" s="1"/>
  <c r="G128" i="1"/>
  <c r="H128" i="1" s="1"/>
  <c r="F128" i="1"/>
  <c r="I127" i="1"/>
  <c r="G127" i="1"/>
  <c r="H127" i="1" s="1"/>
  <c r="H126" i="1" s="1"/>
  <c r="F127" i="1"/>
  <c r="F126" i="1"/>
  <c r="F120" i="1" s="1"/>
  <c r="E126" i="1"/>
  <c r="D126" i="1"/>
  <c r="I125" i="1"/>
  <c r="F125" i="1"/>
  <c r="I124" i="1"/>
  <c r="F124" i="1"/>
  <c r="I123" i="1"/>
  <c r="F123" i="1"/>
  <c r="I122" i="1"/>
  <c r="H122" i="1"/>
  <c r="G122" i="1"/>
  <c r="F122" i="1"/>
  <c r="I121" i="1"/>
  <c r="F121" i="1"/>
  <c r="E121" i="1"/>
  <c r="D121" i="1"/>
  <c r="D120" i="1" s="1"/>
  <c r="D137" i="1" s="1"/>
  <c r="E120" i="1"/>
  <c r="I119" i="1"/>
  <c r="F119" i="1"/>
  <c r="I118" i="1"/>
  <c r="G118" i="1"/>
  <c r="H118" i="1" s="1"/>
  <c r="F118" i="1"/>
  <c r="I117" i="1"/>
  <c r="H117" i="1"/>
  <c r="G117" i="1"/>
  <c r="F117" i="1"/>
  <c r="I116" i="1"/>
  <c r="I115" i="1" s="1"/>
  <c r="G116" i="1"/>
  <c r="G115" i="1" s="1"/>
  <c r="F116" i="1"/>
  <c r="F115" i="1" s="1"/>
  <c r="F137" i="1" s="1"/>
  <c r="E115" i="1"/>
  <c r="E137" i="1" s="1"/>
  <c r="D115" i="1"/>
  <c r="C113" i="1"/>
  <c r="D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I83" i="1" s="1"/>
  <c r="I82" i="1" s="1"/>
  <c r="H84" i="1"/>
  <c r="G84" i="1"/>
  <c r="F84" i="1"/>
  <c r="F83" i="1" s="1"/>
  <c r="F82" i="1" s="1"/>
  <c r="H83" i="1"/>
  <c r="G83" i="1"/>
  <c r="E83" i="1"/>
  <c r="E82" i="1" s="1"/>
  <c r="D83" i="1"/>
  <c r="H82" i="1"/>
  <c r="G82" i="1"/>
  <c r="D82" i="1"/>
  <c r="I81" i="1"/>
  <c r="H81" i="1"/>
  <c r="G81" i="1"/>
  <c r="F81" i="1"/>
  <c r="F79" i="1" s="1"/>
  <c r="I80" i="1"/>
  <c r="H80" i="1"/>
  <c r="H79" i="1" s="1"/>
  <c r="H94" i="1" s="1"/>
  <c r="G80" i="1"/>
  <c r="G79" i="1" s="1"/>
  <c r="G94" i="1" s="1"/>
  <c r="F80" i="1"/>
  <c r="I79" i="1"/>
  <c r="I94" i="1" s="1"/>
  <c r="E79" i="1"/>
  <c r="D79" i="1"/>
  <c r="C76" i="1"/>
  <c r="H72" i="1"/>
  <c r="F72" i="1"/>
  <c r="D72" i="1"/>
  <c r="H58" i="1"/>
  <c r="H57" i="1"/>
  <c r="I52" i="1"/>
  <c r="I31" i="1" s="1"/>
  <c r="G52" i="1"/>
  <c r="G31" i="1" s="1"/>
  <c r="F52" i="1"/>
  <c r="F31" i="1" s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H36" i="1"/>
  <c r="G36" i="1"/>
  <c r="F36" i="1"/>
  <c r="I35" i="1"/>
  <c r="G33" i="1"/>
  <c r="F35" i="1"/>
  <c r="I34" i="1"/>
  <c r="I33" i="1" s="1"/>
  <c r="G34" i="1"/>
  <c r="H34" i="1" s="1"/>
  <c r="F34" i="1"/>
  <c r="E33" i="1"/>
  <c r="D33" i="1"/>
  <c r="D25" i="1" s="1"/>
  <c r="I32" i="1"/>
  <c r="H32" i="1"/>
  <c r="G32" i="1"/>
  <c r="F32" i="1"/>
  <c r="I30" i="1"/>
  <c r="F30" i="1"/>
  <c r="I29" i="1"/>
  <c r="F29" i="1"/>
  <c r="G28" i="1"/>
  <c r="H28" i="1" s="1"/>
  <c r="F28" i="1"/>
  <c r="I27" i="1"/>
  <c r="F27" i="1"/>
  <c r="E26" i="1"/>
  <c r="E25" i="1" s="1"/>
  <c r="D26" i="1"/>
  <c r="I24" i="1"/>
  <c r="H24" i="1"/>
  <c r="G24" i="1"/>
  <c r="F24" i="1"/>
  <c r="F22" i="1" s="1"/>
  <c r="I23" i="1"/>
  <c r="H23" i="1"/>
  <c r="H22" i="1" s="1"/>
  <c r="G23" i="1"/>
  <c r="G22" i="1" s="1"/>
  <c r="F23" i="1"/>
  <c r="I22" i="1"/>
  <c r="E22" i="1"/>
  <c r="E42" i="1" s="1"/>
  <c r="D22" i="1"/>
  <c r="D42" i="1" s="1"/>
  <c r="H16" i="1"/>
  <c r="F16" i="1"/>
  <c r="D16" i="1"/>
  <c r="H121" i="1" l="1"/>
  <c r="H120" i="1" s="1"/>
  <c r="I26" i="1"/>
  <c r="I25" i="1" s="1"/>
  <c r="I42" i="1" s="1"/>
  <c r="H52" i="1"/>
  <c r="F33" i="1"/>
  <c r="F25" i="1" s="1"/>
  <c r="F42" i="1" s="1"/>
  <c r="F26" i="1"/>
  <c r="E169" i="1"/>
  <c r="H33" i="1"/>
  <c r="H31" i="1"/>
  <c r="H26" i="1" s="1"/>
  <c r="G26" i="1"/>
  <c r="G25" i="1" s="1"/>
  <c r="G42" i="1" s="1"/>
  <c r="F94" i="1"/>
  <c r="G215" i="1"/>
  <c r="F219" i="1"/>
  <c r="I120" i="1"/>
  <c r="I137" i="1" s="1"/>
  <c r="F273" i="1"/>
  <c r="E94" i="1"/>
  <c r="F169" i="1"/>
  <c r="G169" i="1" s="1"/>
  <c r="G219" i="1"/>
  <c r="E304" i="1"/>
  <c r="G297" i="1"/>
  <c r="F304" i="1"/>
  <c r="G304" i="1" s="1"/>
  <c r="H35" i="1"/>
  <c r="G126" i="1"/>
  <c r="H189" i="1"/>
  <c r="F206" i="1"/>
  <c r="G206" i="1" s="1"/>
  <c r="G323" i="1"/>
  <c r="G324" i="1" s="1"/>
  <c r="G121" i="1"/>
  <c r="G120" i="1" s="1"/>
  <c r="G137" i="1" s="1"/>
  <c r="H116" i="1"/>
  <c r="H115" i="1" s="1"/>
  <c r="G160" i="1"/>
  <c r="H137" i="1" l="1"/>
  <c r="H25" i="1"/>
  <c r="H42" i="1" s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<sst xmlns="http://schemas.openxmlformats.org/spreadsheetml/2006/main" count="393" uniqueCount="167">
  <si>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</si>
  <si>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</si>
  <si>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</si>
  <si>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</si>
  <si>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</si>
  <si>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</si>
  <si>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</si>
  <si>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</si>
  <si>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</si>
  <si>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</si>
  <si>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</si>
  <si>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</si>
  <si>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</si>
  <si>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</si>
  <si>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</si>
  <si>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</si>
  <si>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</si>
  <si>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</si>
  <si>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</si>
  <si>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</si>
  <si>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</si>
  <si>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</si>
  <si>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</si>
  <si>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</si>
  <si>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</si>
  <si>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</si>
  <si>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</si>
  <si>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</si>
  <si>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</si>
  <si>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</si>
  <si>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</si>
  <si>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</si>
  <si>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</si>
  <si>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</si>
  <si>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</si>
  <si>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</si>
  <si>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</si>
  <si>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</si>
  <si>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</si>
  <si>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</si>
  <si>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</si>
  <si>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</si>
  <si>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</si>
  <si>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</si>
  <si>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</si>
  <si>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</si>
  <si>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</si>
  <si>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</si>
  <si>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</si>
  <si>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</si>
  <si>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</si>
  <si>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</si>
  <si>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</si>
  <si>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</si>
  <si>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</si>
  <si>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</si>
  <si>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</si>
  <si>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</si>
  <si>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</si>
  <si>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</si>
  <si>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</si>
  <si>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</si>
  <si>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</si>
  <si>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</si>
  <si>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</si>
  <si>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</si>
  <si>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</si>
  <si>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</si>
  <si>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</si>
  <si>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</si>
  <si>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</si>
  <si>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</si>
  <si>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</si>
  <si>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</si>
  <si>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</si>
  <si>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</si>
  <si>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</si>
  <si>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</si>
  <si>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</si>
  <si>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</si>
  <si>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</si>
  <si>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</si>
  <si>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</si>
  <si>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</si>
  <si>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</si>
  <si>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</si>
  <si>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</si>
  <si>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</si>
  <si>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</si>
  <si>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</si>
  <si>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</si>
  <si>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</si>
  <si>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</si>
  <si>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</si>
  <si>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</si>
  <si>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</si>
  <si>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</si>
  <si>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</si>
  <si>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</si>
  <si>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</si>
  <si>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</si>
  <si>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</si>
  <si>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</si>
  <si>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</si>
  <si>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</si>
  <si>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</si>
  <si>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</si>
  <si>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</si>
  <si>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</si>
  <si>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</si>
  <si>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</si>
  <si>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</si>
  <si>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</si>
  <si>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</si>
  <si>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</si>
  <si>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</si>
  <si>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</si>
  <si>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</si>
  <si>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</si>
  <si>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</si>
  <si>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</si>
  <si>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</si>
  <si>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</si>
  <si>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</si>
  <si>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</si>
  <si>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</si>
  <si>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</si>
  <si>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</si>
  <si>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</si>
  <si>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</si>
  <si>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</si>
  <si>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</si>
  <si>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</si>
  <si>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</si>
  <si>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</si>
  <si>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</si>
  <si>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</si>
  <si>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</si>
  <si>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</si>
  <si>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</si>
  <si>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</si>
  <si>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</si>
  <si>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</si>
  <si>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</si>
  <si>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</si>
  <si>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</si>
  <si>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</si>
  <si>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</si>
  <si>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</si>
  <si>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</si>
  <si>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</si>
  <si>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</si>
  <si>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</si>
  <si>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</si>
  <si>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</si>
  <si>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</si>
  <si>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for åpen gruppe og kystfiskeordningen baseres på beregninger fra Norges Råfisklag</t>
    </r>
  </si>
  <si>
    <t>Ferskfiskordning lukket gruppe</t>
  </si>
  <si>
    <t>STATISTIKK OM FERSKFISKORDNINGEN OG KYSTFISKEORDNINGEN</t>
  </si>
  <si>
    <t>2 Registrert rekreasjonsfiske utgjør 51 tonn, men det legges til grunn at hele avsetningen tas</t>
  </si>
  <si>
    <t>4 Registrert rekreasjonsfiske utgjør 391 tonn, men det legges til grunn at hele avsetningen tas</t>
  </si>
  <si>
    <t>3 Registrert rekreasjonsfiske utgjør 753 tonn, men det legges til grunn at hele avsetningen tas</t>
  </si>
  <si>
    <t>FANGST UKE 41</t>
  </si>
  <si>
    <t>FANGST T.O.M UKE 41</t>
  </si>
  <si>
    <t>RESTKVOTER UKE 41</t>
  </si>
  <si>
    <t>FANGST T.O.M UKE 41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</si>
  <si>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3 149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</si>
</sst>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236" zoomScale="97" zoomScaleNormal="55" zoomScaleSheetLayoutView="100" zoomScalePageLayoutView="85" workbookViewId="0">
      <selection activeCell="I243" sqref="I243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27" t="s">
        <v>120</v>
      </c>
      <c r="C2" s="328"/>
      <c r="D2" s="328"/>
      <c r="E2" s="328"/>
      <c r="F2" s="328"/>
      <c r="G2" s="328"/>
      <c r="H2" s="328"/>
      <c r="I2" s="328"/>
      <c r="J2" s="329"/>
    </row>
    <row r="3" spans="1:10" ht="14.9" customHeight="1" x14ac:dyDescent="0.35">
      <c r="A3" s="1"/>
      <c r="B3" s="1"/>
      <c r="C3" s="1" t="s">
        <v>109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109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109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109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109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30"/>
      <c r="C9" s="331"/>
      <c r="D9" s="331"/>
      <c r="E9" s="331"/>
      <c r="F9" s="331"/>
      <c r="G9" s="331"/>
      <c r="H9" s="331"/>
      <c r="I9" s="331"/>
      <c r="J9" s="332"/>
    </row>
    <row r="10" spans="1:10" ht="12" customHeight="1" x14ac:dyDescent="0.3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324" t="s">
        <v>1</v>
      </c>
      <c r="D11" s="325"/>
      <c r="E11" s="324" t="s">
        <v>2</v>
      </c>
      <c r="F11" s="325"/>
      <c r="G11" s="324" t="s">
        <v>3</v>
      </c>
      <c r="H11" s="325"/>
      <c r="I11" s="173"/>
      <c r="J11" s="267"/>
    </row>
    <row r="12" spans="1:10" ht="14.15" customHeight="1" x14ac:dyDescent="0.3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35">
      <c r="A13" s="1"/>
      <c r="B13" s="277"/>
      <c r="C13" s="110" t="s">
        <v>80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3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35">
      <c r="A15" s="1"/>
      <c r="B15" s="277"/>
      <c r="C15" s="110" t="s">
        <v>70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5" customHeight="1" x14ac:dyDescent="0.3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35">
      <c r="A17" s="101"/>
      <c r="B17" s="24"/>
      <c r="C17" s="317" t="s">
        <v>140</v>
      </c>
      <c r="D17" s="317"/>
      <c r="E17" s="317"/>
      <c r="F17" s="317"/>
      <c r="G17" s="317"/>
      <c r="H17" s="317"/>
      <c r="I17" s="101"/>
      <c r="J17" s="157"/>
    </row>
    <row r="18" spans="1:10" ht="15" customHeight="1" x14ac:dyDescent="0.3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3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3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162</v>
      </c>
      <c r="G21" s="68" t="s">
        <v>163</v>
      </c>
      <c r="H21" s="68" t="s">
        <v>164</v>
      </c>
      <c r="I21" s="68" t="s">
        <v>165</v>
      </c>
      <c r="J21" s="301"/>
    </row>
    <row r="22" spans="1:10" ht="14.15" customHeight="1" x14ac:dyDescent="0.3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359.96100000000001</v>
      </c>
      <c r="G22" s="27">
        <f t="shared" si="0"/>
        <v>26969.967420000001</v>
      </c>
      <c r="H22" s="10">
        <f t="shared" si="0"/>
        <v>14616.032579999999</v>
      </c>
      <c r="I22" s="10">
        <f t="shared" si="0"/>
        <v>44532.727550000003</v>
      </c>
      <c r="J22" s="267"/>
    </row>
    <row r="23" spans="1:10" ht="14.15" customHeight="1" x14ac:dyDescent="0.35">
      <c r="A23" s="1"/>
      <c r="B23" s="277"/>
      <c r="C23" s="43" t="s">
        <v>20</v>
      </c>
      <c r="D23" s="44">
        <v>38040</v>
      </c>
      <c r="E23" s="44">
        <v>40823</v>
      </c>
      <c r="F23" s="22">
        <f>359.961</f>
        <v>359.96100000000001</v>
      </c>
      <c r="G23" s="22">
        <f>26549.69427</f>
        <v>26549.69427</v>
      </c>
      <c r="H23" s="22">
        <f>E23-G23</f>
        <v>14273.30573</v>
      </c>
      <c r="I23" s="22">
        <f>44005.14497</f>
        <v>44005.144970000001</v>
      </c>
      <c r="J23" s="267"/>
    </row>
    <row r="24" spans="1:10" ht="14.15" customHeight="1" x14ac:dyDescent="0.3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420.27315</f>
        <v>420.27314999999999</v>
      </c>
      <c r="H24" s="22">
        <f>E24-G24</f>
        <v>342.72685000000001</v>
      </c>
      <c r="I24" s="22">
        <f>527.58258</f>
        <v>527.58258000000001</v>
      </c>
      <c r="J24" s="267"/>
    </row>
    <row r="25" spans="1:10" ht="14.15" customHeight="1" x14ac:dyDescent="0.3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503.87216000000001</v>
      </c>
      <c r="G25" s="10">
        <f t="shared" si="1"/>
        <v>106819.36076</v>
      </c>
      <c r="H25" s="10">
        <f t="shared" si="1"/>
        <v>14848.639240000002</v>
      </c>
      <c r="I25" s="10">
        <f t="shared" si="1"/>
        <v>125933.43304999999</v>
      </c>
      <c r="J25" s="267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252.0241</v>
      </c>
      <c r="G26" s="129">
        <f>G27+G28+G29+G30+G31</f>
        <v>85588.57445</v>
      </c>
      <c r="H26" s="129">
        <f t="shared" ref="H26:I26" si="2">H27+H28+H29+H30+H31</f>
        <v>9304.4255500000017</v>
      </c>
      <c r="I26" s="129">
        <f t="shared" si="2"/>
        <v>102497.56266</v>
      </c>
      <c r="J26" s="267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93.22497 - F53</f>
        <v>7.224969999999999</v>
      </c>
      <c r="G27" s="123">
        <f>23402.96001 - G53</f>
        <v>22761.960009999999</v>
      </c>
      <c r="H27" s="123">
        <f t="shared" ref="H27:H39" si="3">E27-G27</f>
        <v>2391.0399900000011</v>
      </c>
      <c r="I27" s="123">
        <f>26639.79932 - I53</f>
        <v>25858.799319999998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66.02918 - F54</f>
        <v>8.0291799999999967</v>
      </c>
      <c r="G28" s="123">
        <f>23590.75669 - G54</f>
        <v>22614.756689999998</v>
      </c>
      <c r="H28" s="123">
        <f t="shared" si="3"/>
        <v>1379.2433100000017</v>
      </c>
      <c r="I28" s="123">
        <f>29032.61885 - I54</f>
        <v>27902.618849999999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54.89485 - F55</f>
        <v>-2.1051500000000019</v>
      </c>
      <c r="G29" s="123">
        <f>22461.16527 - G55</f>
        <v>21272.165270000001</v>
      </c>
      <c r="H29" s="123">
        <f t="shared" si="3"/>
        <v>597.83472999999867</v>
      </c>
      <c r="I29" s="123">
        <f>26833.5741 - I55</f>
        <v>25660.574100000002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37.8751 - F56</f>
        <v>0.87510000000000332</v>
      </c>
      <c r="G30" s="123">
        <f>16133.69248 - G56</f>
        <v>15428.69248</v>
      </c>
      <c r="H30" s="123">
        <f>E30-G30</f>
        <v>216.3075200000003</v>
      </c>
      <c r="I30" s="123">
        <f>19991.57039 - I56</f>
        <v>18959.570390000001</v>
      </c>
      <c r="J30" s="63"/>
    </row>
    <row r="31" spans="1:10" ht="14.15" customHeight="1" x14ac:dyDescent="0.35">
      <c r="A31" s="192"/>
      <c r="B31" s="176"/>
      <c r="C31" s="60" t="s">
        <v>157</v>
      </c>
      <c r="D31" s="61">
        <v>7872</v>
      </c>
      <c r="E31" s="61">
        <v>8231</v>
      </c>
      <c r="F31" s="123">
        <f>F52</f>
        <v>238</v>
      </c>
      <c r="G31" s="123">
        <f>G52</f>
        <v>3511</v>
      </c>
      <c r="H31" s="123">
        <f>E31-G31</f>
        <v>4720</v>
      </c>
      <c r="I31" s="123">
        <f>I52</f>
        <v>4116</v>
      </c>
      <c r="J31" s="63"/>
    </row>
    <row r="32" spans="1:10" ht="14.15" customHeight="1" x14ac:dyDescent="0.35">
      <c r="A32" s="64"/>
      <c r="B32" s="51"/>
      <c r="C32" s="54" t="s">
        <v>28</v>
      </c>
      <c r="D32" s="55">
        <v>12692</v>
      </c>
      <c r="E32" s="55">
        <v>13679</v>
      </c>
      <c r="F32" s="129">
        <f>194.01898</f>
        <v>194.01898</v>
      </c>
      <c r="G32" s="129">
        <f>9630.65077</f>
        <v>9630.6507700000002</v>
      </c>
      <c r="H32" s="129">
        <f t="shared" si="3"/>
        <v>4048.3492299999998</v>
      </c>
      <c r="I32" s="129">
        <f>11263.31082</f>
        <v>11263.310820000001</v>
      </c>
      <c r="J32" s="63"/>
    </row>
    <row r="33" spans="1:10" ht="14.15" customHeight="1" x14ac:dyDescent="0.35">
      <c r="A33" s="64"/>
      <c r="B33" s="51"/>
      <c r="C33" s="54" t="s">
        <v>29</v>
      </c>
      <c r="D33" s="55">
        <f>D34+D35</f>
        <v>10834</v>
      </c>
      <c r="E33" s="55">
        <f>E34+E35</f>
        <v>13096</v>
      </c>
      <c r="F33" s="129">
        <f>F34+F35</f>
        <v>57.829080000000005</v>
      </c>
      <c r="G33" s="129">
        <f>G34+G35</f>
        <v>11600.135539999999</v>
      </c>
      <c r="H33" s="129">
        <f t="shared" si="3"/>
        <v>1495.8644600000007</v>
      </c>
      <c r="I33" s="129">
        <f>I34+I35</f>
        <v>12172.559569999999</v>
      </c>
      <c r="J33" s="63"/>
    </row>
    <row r="34" spans="1:10" ht="14.15" customHeight="1" x14ac:dyDescent="0.35">
      <c r="A34" s="192"/>
      <c r="B34" s="176"/>
      <c r="C34" s="60" t="s">
        <v>30</v>
      </c>
      <c r="D34" s="61">
        <v>9874</v>
      </c>
      <c r="E34" s="61">
        <v>12136</v>
      </c>
      <c r="F34" s="123">
        <f>72.82908 - F57 - F58</f>
        <v>10.829080000000005</v>
      </c>
      <c r="G34" s="129">
        <f>13726.13554 - G57 - G58</f>
        <v>11046.135539999999</v>
      </c>
      <c r="H34" s="123">
        <f t="shared" si="3"/>
        <v>1089.8644600000007</v>
      </c>
      <c r="I34" s="123">
        <f>15009.55957 - I57 - I58</f>
        <v>11667.559569999999</v>
      </c>
      <c r="J34" s="63"/>
    </row>
    <row r="35" spans="1:10" ht="14.15" customHeight="1" x14ac:dyDescent="0.35">
      <c r="A35" s="192"/>
      <c r="B35" s="176"/>
      <c r="C35" s="66" t="s">
        <v>31</v>
      </c>
      <c r="D35" s="220">
        <v>960</v>
      </c>
      <c r="E35" s="220">
        <v>960</v>
      </c>
      <c r="F35" s="67">
        <f>F57</f>
        <v>47</v>
      </c>
      <c r="G35" s="67">
        <f>G57</f>
        <v>554</v>
      </c>
      <c r="H35" s="67">
        <f t="shared" si="3"/>
        <v>406</v>
      </c>
      <c r="I35" s="67">
        <f>I57</f>
        <v>505</v>
      </c>
      <c r="J35" s="63"/>
    </row>
    <row r="36" spans="1:10" ht="15.75" customHeight="1" x14ac:dyDescent="0.35">
      <c r="A36" s="1"/>
      <c r="B36" s="277"/>
      <c r="C36" s="70" t="s">
        <v>32</v>
      </c>
      <c r="D36" s="140">
        <v>1000</v>
      </c>
      <c r="E36" s="140">
        <v>1000</v>
      </c>
      <c r="F36" s="136">
        <f>0</f>
        <v>0</v>
      </c>
      <c r="G36" s="136">
        <f>280.2564</f>
        <v>280.25639999999999</v>
      </c>
      <c r="H36" s="136">
        <f t="shared" si="3"/>
        <v>719.74360000000001</v>
      </c>
      <c r="I36" s="136">
        <f>348.3612</f>
        <v>348.3612</v>
      </c>
      <c r="J36" s="267"/>
    </row>
    <row r="37" spans="1:10" ht="14.15" customHeight="1" x14ac:dyDescent="0.35">
      <c r="A37" s="1"/>
      <c r="B37" s="277"/>
      <c r="C37" s="70" t="s">
        <v>33</v>
      </c>
      <c r="D37" s="140">
        <v>855</v>
      </c>
      <c r="E37" s="140">
        <v>855</v>
      </c>
      <c r="F37" s="95">
        <f>0</f>
        <v>0</v>
      </c>
      <c r="G37" s="95">
        <f>587.31925</f>
        <v>587.31925000000001</v>
      </c>
      <c r="H37" s="95">
        <f t="shared" si="3"/>
        <v>267.68074999999999</v>
      </c>
      <c r="I37" s="95">
        <f>487.75528</f>
        <v>487.75528000000003</v>
      </c>
      <c r="J37" s="267"/>
    </row>
    <row r="38" spans="1:10" ht="17.25" customHeight="1" x14ac:dyDescent="0.35">
      <c r="A38" s="1"/>
      <c r="B38" s="277"/>
      <c r="C38" s="70" t="s">
        <v>34</v>
      </c>
      <c r="D38" s="140">
        <v>3000</v>
      </c>
      <c r="E38" s="140">
        <v>3000</v>
      </c>
      <c r="F38" s="95">
        <f>F58</f>
        <v>15</v>
      </c>
      <c r="G38" s="95">
        <f>G58</f>
        <v>2126</v>
      </c>
      <c r="H38" s="95">
        <f t="shared" si="3"/>
        <v>874</v>
      </c>
      <c r="I38" s="95">
        <f>I58</f>
        <v>2837</v>
      </c>
      <c r="J38" s="267"/>
    </row>
    <row r="39" spans="1:10" ht="17.25" customHeight="1" x14ac:dyDescent="0.35">
      <c r="A39" s="1"/>
      <c r="B39" s="277"/>
      <c r="C39" s="70" t="s">
        <v>35</v>
      </c>
      <c r="D39" s="140">
        <v>7000</v>
      </c>
      <c r="E39" s="140">
        <v>7000</v>
      </c>
      <c r="F39" s="95">
        <f>2.0456</f>
        <v>2.0455999999999999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35">
      <c r="A40" s="1"/>
      <c r="B40" s="277"/>
      <c r="C40" s="70" t="s">
        <v>37</v>
      </c>
      <c r="D40" s="140">
        <v>450</v>
      </c>
      <c r="E40" s="140">
        <v>450</v>
      </c>
      <c r="F40" s="95">
        <f>0.22774</f>
        <v>0.22774</v>
      </c>
      <c r="G40" s="95">
        <f>384.44028</f>
        <v>384.44027999999997</v>
      </c>
      <c r="H40" s="95">
        <f>E40-G40</f>
        <v>65.559720000000027</v>
      </c>
      <c r="I40" s="95">
        <f>341.6813</f>
        <v>341.68130000000002</v>
      </c>
      <c r="J40" s="267"/>
    </row>
    <row r="41" spans="1:10" ht="14.15" customHeight="1" x14ac:dyDescent="0.35">
      <c r="A41" s="1"/>
      <c r="B41" s="277"/>
      <c r="C41" s="70" t="s">
        <v>38</v>
      </c>
      <c r="D41" s="140"/>
      <c r="E41" s="136"/>
      <c r="F41" s="136">
        <f>0</f>
        <v>0</v>
      </c>
      <c r="G41" s="136">
        <f>101.50363</f>
        <v>101.50363</v>
      </c>
      <c r="H41" s="136">
        <f t="shared" ref="H41" si="4">E41-G41</f>
        <v>-101.50363</v>
      </c>
      <c r="I41" s="136">
        <f>87.05126</f>
        <v>87.051259999999999</v>
      </c>
      <c r="J41" s="267"/>
    </row>
    <row r="42" spans="1:10" ht="16.5" customHeight="1" x14ac:dyDescent="0.35">
      <c r="A42" s="1"/>
      <c r="B42" s="277"/>
      <c r="C42" s="71" t="s">
        <v>39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881.1065000000001</v>
      </c>
      <c r="G42" s="73">
        <f t="shared" si="5"/>
        <v>144268.84774000003</v>
      </c>
      <c r="H42" s="73">
        <f t="shared" si="5"/>
        <v>31290.152260000006</v>
      </c>
      <c r="I42" s="73">
        <f t="shared" si="5"/>
        <v>181568.00964000003</v>
      </c>
      <c r="J42" s="267"/>
    </row>
    <row r="43" spans="1:10" ht="14.15" customHeight="1" x14ac:dyDescent="0.35">
      <c r="A43" s="101"/>
      <c r="B43" s="24"/>
      <c r="C43" s="74" t="s">
        <v>121</v>
      </c>
      <c r="D43" s="216"/>
      <c r="E43" s="216"/>
      <c r="F43" s="76"/>
      <c r="G43" s="76"/>
      <c r="H43" s="251"/>
      <c r="I43" s="251"/>
      <c r="J43" s="77"/>
    </row>
    <row r="44" spans="1:10" ht="14.15" customHeight="1" x14ac:dyDescent="0.35">
      <c r="A44" s="101"/>
      <c r="B44" s="24"/>
      <c r="C44" s="78" t="s">
        <v>156</v>
      </c>
      <c r="D44" s="216"/>
      <c r="E44" s="216"/>
      <c r="F44" s="216"/>
      <c r="G44" s="76"/>
      <c r="H44" s="173"/>
      <c r="I44" s="173"/>
      <c r="J44" s="267"/>
    </row>
    <row r="45" spans="1:10" ht="14.15" customHeight="1" x14ac:dyDescent="0.35">
      <c r="A45" s="101"/>
      <c r="B45" s="24"/>
      <c r="C45" s="156" t="s">
        <v>161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136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40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35">
      <c r="A49" s="101"/>
      <c r="B49" s="24"/>
      <c r="C49" s="320" t="s">
        <v>158</v>
      </c>
      <c r="D49" s="320"/>
      <c r="E49" s="320"/>
      <c r="F49" s="320"/>
      <c r="G49" s="320"/>
      <c r="H49" s="320"/>
      <c r="I49" s="80"/>
      <c r="J49" s="81"/>
    </row>
    <row r="50" spans="1:10" ht="16.5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41</v>
      </c>
      <c r="E51" s="68" t="s">
        <v>118</v>
      </c>
      <c r="F51" s="68" t="s">
        <v>162</v>
      </c>
      <c r="G51" s="68" t="s">
        <v>163</v>
      </c>
      <c r="H51" s="68" t="s">
        <v>164</v>
      </c>
      <c r="I51" s="68" t="s">
        <v>165</v>
      </c>
      <c r="J51" s="267"/>
    </row>
    <row r="52" spans="1:10" ht="14.15" customHeight="1" x14ac:dyDescent="0.35">
      <c r="A52" s="101"/>
      <c r="B52" s="24"/>
      <c r="C52" s="15" t="s">
        <v>42</v>
      </c>
      <c r="D52" s="321">
        <v>7872</v>
      </c>
      <c r="E52" s="321">
        <v>8231</v>
      </c>
      <c r="F52" s="10">
        <f>F56+F55+F54+F53</f>
        <v>238</v>
      </c>
      <c r="G52" s="10">
        <f>G56+G55+G54+G53</f>
        <v>3511</v>
      </c>
      <c r="H52" s="321">
        <f>E52-G52</f>
        <v>4720</v>
      </c>
      <c r="I52" s="10">
        <f>I56+I55+I54+I53</f>
        <v>4116</v>
      </c>
      <c r="J52" s="117"/>
    </row>
    <row r="53" spans="1:10" ht="14.15" customHeight="1" x14ac:dyDescent="0.35">
      <c r="A53" s="101"/>
      <c r="B53" s="24"/>
      <c r="C53" s="60" t="s">
        <v>24</v>
      </c>
      <c r="D53" s="322"/>
      <c r="E53" s="322"/>
      <c r="F53" s="123">
        <v>86</v>
      </c>
      <c r="G53" s="123">
        <v>641</v>
      </c>
      <c r="H53" s="322"/>
      <c r="I53" s="123">
        <v>781</v>
      </c>
      <c r="J53" s="117"/>
    </row>
    <row r="54" spans="1:10" ht="14.15" customHeight="1" x14ac:dyDescent="0.35">
      <c r="A54" s="101"/>
      <c r="B54" s="24"/>
      <c r="C54" s="60" t="s">
        <v>25</v>
      </c>
      <c r="D54" s="322"/>
      <c r="E54" s="322"/>
      <c r="F54" s="123">
        <v>58</v>
      </c>
      <c r="G54" s="123">
        <v>976</v>
      </c>
      <c r="H54" s="322"/>
      <c r="I54" s="123">
        <v>1130</v>
      </c>
      <c r="J54" s="267"/>
    </row>
    <row r="55" spans="1:10" ht="14.15" customHeight="1" x14ac:dyDescent="0.35">
      <c r="A55" s="101"/>
      <c r="B55" s="24"/>
      <c r="C55" s="60" t="s">
        <v>26</v>
      </c>
      <c r="D55" s="322"/>
      <c r="E55" s="322"/>
      <c r="F55" s="123">
        <v>57</v>
      </c>
      <c r="G55" s="123">
        <v>1189</v>
      </c>
      <c r="H55" s="322"/>
      <c r="I55" s="123">
        <v>1173</v>
      </c>
      <c r="J55" s="117"/>
    </row>
    <row r="56" spans="1:10" ht="14.15" customHeight="1" x14ac:dyDescent="0.35">
      <c r="A56" s="101"/>
      <c r="B56" s="24"/>
      <c r="C56" s="84" t="s">
        <v>27</v>
      </c>
      <c r="D56" s="323"/>
      <c r="E56" s="323"/>
      <c r="F56" s="186">
        <v>37</v>
      </c>
      <c r="G56" s="186">
        <v>705</v>
      </c>
      <c r="H56" s="323"/>
      <c r="I56" s="186">
        <v>1032</v>
      </c>
      <c r="J56" s="117"/>
    </row>
    <row r="57" spans="1:10" ht="14.15" customHeight="1" x14ac:dyDescent="0.35">
      <c r="A57" s="101"/>
      <c r="B57" s="24"/>
      <c r="C57" s="85" t="s">
        <v>43</v>
      </c>
      <c r="D57" s="92">
        <v>960</v>
      </c>
      <c r="E57" s="92">
        <v>960</v>
      </c>
      <c r="F57" s="92">
        <v>47</v>
      </c>
      <c r="G57" s="92">
        <v>554</v>
      </c>
      <c r="H57" s="92">
        <f>E57-G57</f>
        <v>406</v>
      </c>
      <c r="I57" s="92">
        <v>505</v>
      </c>
      <c r="J57" s="267"/>
    </row>
    <row r="58" spans="1:10" ht="14.15" customHeight="1" x14ac:dyDescent="0.35">
      <c r="A58" s="101"/>
      <c r="B58" s="24"/>
      <c r="C58" s="139" t="s">
        <v>44</v>
      </c>
      <c r="D58" s="136">
        <v>3000</v>
      </c>
      <c r="E58" s="136">
        <v>3000</v>
      </c>
      <c r="F58" s="136">
        <v>15</v>
      </c>
      <c r="G58" s="136">
        <v>2126</v>
      </c>
      <c r="H58" s="136">
        <f>E58-G58</f>
        <v>874</v>
      </c>
      <c r="I58" s="136">
        <v>2837</v>
      </c>
      <c r="J58" s="117"/>
    </row>
    <row r="59" spans="1:10" ht="14.15" customHeight="1" x14ac:dyDescent="0.35">
      <c r="A59" s="101"/>
      <c r="B59" s="24"/>
      <c r="C59" s="74" t="s">
        <v>122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33" t="s">
        <v>45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33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324" t="s">
        <v>1</v>
      </c>
      <c r="D68" s="325"/>
      <c r="E68" s="324" t="s">
        <v>2</v>
      </c>
      <c r="F68" s="326"/>
      <c r="G68" s="324" t="s">
        <v>3</v>
      </c>
      <c r="H68" s="325"/>
      <c r="I68" s="173"/>
      <c r="J68" s="267"/>
    </row>
    <row r="69" spans="1:10" ht="15" customHeight="1" x14ac:dyDescent="0.35">
      <c r="B69" s="277"/>
      <c r="C69" s="110" t="s">
        <v>139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3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5" customHeight="1" x14ac:dyDescent="0.35">
      <c r="B71" s="277"/>
      <c r="C71" s="110" t="s">
        <v>70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35">
      <c r="B72" s="277"/>
      <c r="C72" s="172" t="s">
        <v>46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35">
      <c r="A73" s="1"/>
      <c r="B73" s="277"/>
      <c r="C73" s="101" t="s">
        <v>141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3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5" customHeight="1" x14ac:dyDescent="0.3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3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35">
      <c r="A78" s="1"/>
      <c r="B78" s="277"/>
      <c r="C78" s="14" t="s">
        <v>16</v>
      </c>
      <c r="D78" s="113" t="s">
        <v>17</v>
      </c>
      <c r="E78" s="14" t="s">
        <v>47</v>
      </c>
      <c r="F78" s="14" t="s">
        <v>162</v>
      </c>
      <c r="G78" s="14" t="s">
        <v>163</v>
      </c>
      <c r="H78" s="14" t="s">
        <v>164</v>
      </c>
      <c r="I78" s="14" t="s">
        <v>165</v>
      </c>
      <c r="J78" s="117"/>
    </row>
    <row r="79" spans="1:10" ht="14.15" customHeight="1" x14ac:dyDescent="0.3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138.86179999999999</v>
      </c>
      <c r="G79" s="10">
        <f t="shared" si="6"/>
        <v>21234.748540000001</v>
      </c>
      <c r="H79" s="10">
        <f t="shared" si="6"/>
        <v>4906.2514599999995</v>
      </c>
      <c r="I79" s="10">
        <f t="shared" si="6"/>
        <v>23662.018359999998</v>
      </c>
      <c r="J79" s="267"/>
    </row>
    <row r="80" spans="1:10" ht="15" customHeight="1" x14ac:dyDescent="0.35">
      <c r="A80" s="1"/>
      <c r="B80" s="277"/>
      <c r="C80" s="43" t="s">
        <v>20</v>
      </c>
      <c r="D80" s="44">
        <v>24216</v>
      </c>
      <c r="E80" s="44">
        <v>25316</v>
      </c>
      <c r="F80" s="22">
        <f>138.8618</f>
        <v>138.86179999999999</v>
      </c>
      <c r="G80" s="22">
        <f>20693.98412</f>
        <v>20693.984120000001</v>
      </c>
      <c r="H80" s="22">
        <f>E80-G80</f>
        <v>4622.015879999999</v>
      </c>
      <c r="I80" s="22">
        <f>22866.61081</f>
        <v>22866.610809999998</v>
      </c>
      <c r="J80" s="267"/>
    </row>
    <row r="81" spans="1:10" ht="14.15" customHeight="1" x14ac:dyDescent="0.3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540.76442</f>
        <v>540.76441999999997</v>
      </c>
      <c r="H81" s="48">
        <f>E81-G81</f>
        <v>284.23558000000003</v>
      </c>
      <c r="I81" s="48">
        <f>795.40755</f>
        <v>795.40755000000001</v>
      </c>
      <c r="J81" s="267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435.06554</v>
      </c>
      <c r="G82" s="10">
        <f t="shared" si="7"/>
        <v>34141.055410000001</v>
      </c>
      <c r="H82" s="10">
        <f t="shared" si="7"/>
        <v>9987.9445899999992</v>
      </c>
      <c r="I82" s="10">
        <f t="shared" si="7"/>
        <v>40336.050349999998</v>
      </c>
      <c r="J82" s="267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214.90731000000002</v>
      </c>
      <c r="G83" s="129">
        <f t="shared" si="8"/>
        <v>27273.853729999999</v>
      </c>
      <c r="H83" s="129">
        <f t="shared" si="8"/>
        <v>5231.1462699999993</v>
      </c>
      <c r="I83" s="129">
        <f t="shared" si="8"/>
        <v>32526.806349999999</v>
      </c>
      <c r="J83" s="267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85.95746</f>
        <v>85.957459999999998</v>
      </c>
      <c r="G84" s="123">
        <f>3769.5887</f>
        <v>3769.5886999999998</v>
      </c>
      <c r="H84" s="123">
        <f t="shared" ref="H84:H91" si="9">E84-G84</f>
        <v>5234.4112999999998</v>
      </c>
      <c r="I84" s="123">
        <f>5335.31651</f>
        <v>5335.3165099999997</v>
      </c>
      <c r="J84" s="267"/>
    </row>
    <row r="85" spans="1:10" ht="14.15" customHeight="1" x14ac:dyDescent="0.35">
      <c r="A85" s="192"/>
      <c r="B85" s="176"/>
      <c r="C85" s="60" t="s">
        <v>48</v>
      </c>
      <c r="D85" s="61">
        <v>8674</v>
      </c>
      <c r="E85" s="61">
        <v>9075</v>
      </c>
      <c r="F85" s="123">
        <f>49.19221</f>
        <v>49.192210000000003</v>
      </c>
      <c r="G85" s="123">
        <f>7297.27026</f>
        <v>7297.2702600000002</v>
      </c>
      <c r="H85" s="123">
        <f t="shared" si="9"/>
        <v>1777.7297399999998</v>
      </c>
      <c r="I85" s="123">
        <f>10474.76172</f>
        <v>10474.76172</v>
      </c>
      <c r="J85" s="267"/>
    </row>
    <row r="86" spans="1:10" ht="14.15" customHeight="1" x14ac:dyDescent="0.35">
      <c r="A86" s="192"/>
      <c r="B86" s="176"/>
      <c r="C86" s="60" t="s">
        <v>49</v>
      </c>
      <c r="D86" s="61">
        <v>8266</v>
      </c>
      <c r="E86" s="61">
        <v>8649</v>
      </c>
      <c r="F86" s="123">
        <f>26.17992</f>
        <v>26.179919999999999</v>
      </c>
      <c r="G86" s="123">
        <f>8349.77093</f>
        <v>8349.7709300000006</v>
      </c>
      <c r="H86" s="123">
        <f t="shared" si="9"/>
        <v>299.22906999999941</v>
      </c>
      <c r="I86" s="123">
        <f>9834.43735</f>
        <v>9834.4373500000002</v>
      </c>
      <c r="J86" s="267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53.57772</f>
        <v>53.577719999999999</v>
      </c>
      <c r="G87" s="123">
        <f>7857.22384</f>
        <v>7857.2238399999997</v>
      </c>
      <c r="H87" s="123">
        <f t="shared" si="9"/>
        <v>-2080.2238399999997</v>
      </c>
      <c r="I87" s="123">
        <f>6882.29077</f>
        <v>6882.2907699999996</v>
      </c>
      <c r="J87" s="267"/>
    </row>
    <row r="88" spans="1:10" ht="14.15" customHeight="1" x14ac:dyDescent="0.35">
      <c r="A88" s="192"/>
      <c r="B88" s="176"/>
      <c r="C88" s="54" t="s">
        <v>50</v>
      </c>
      <c r="D88" s="55">
        <v>7333</v>
      </c>
      <c r="E88" s="55">
        <v>8117</v>
      </c>
      <c r="F88" s="129">
        <f>128.58262</f>
        <v>128.58261999999999</v>
      </c>
      <c r="G88" s="129">
        <f>4966.69673</f>
        <v>4966.6967299999997</v>
      </c>
      <c r="H88" s="129">
        <f t="shared" si="9"/>
        <v>3150.3032700000003</v>
      </c>
      <c r="I88" s="129">
        <f>5400.21623</f>
        <v>5400.21623</v>
      </c>
      <c r="J88" s="267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91.57561</f>
        <v>91.575609999999998</v>
      </c>
      <c r="G89" s="72">
        <f>1900.50495</f>
        <v>1900.50495</v>
      </c>
      <c r="H89" s="72">
        <f t="shared" si="9"/>
        <v>1606.49505</v>
      </c>
      <c r="I89" s="72">
        <f>2409.02777</f>
        <v>2409.0277700000001</v>
      </c>
      <c r="J89" s="267"/>
    </row>
    <row r="90" spans="1:10" ht="15.75" customHeight="1" x14ac:dyDescent="0.35">
      <c r="A90" s="1"/>
      <c r="B90" s="51"/>
      <c r="C90" s="70" t="s">
        <v>33</v>
      </c>
      <c r="D90" s="86">
        <v>319</v>
      </c>
      <c r="E90" s="86">
        <v>319</v>
      </c>
      <c r="F90" s="95">
        <f>0</f>
        <v>0</v>
      </c>
      <c r="G90" s="95">
        <f>37.10349</f>
        <v>37.103490000000001</v>
      </c>
      <c r="H90" s="95">
        <f t="shared" si="9"/>
        <v>281.89650999999998</v>
      </c>
      <c r="I90" s="95">
        <f>36.13224</f>
        <v>36.132240000000003</v>
      </c>
      <c r="J90" s="267"/>
    </row>
    <row r="91" spans="1:10" ht="18" customHeight="1" x14ac:dyDescent="0.35">
      <c r="A91" s="1"/>
      <c r="B91" s="277"/>
      <c r="C91" s="70" t="s">
        <v>51</v>
      </c>
      <c r="D91" s="140">
        <v>300</v>
      </c>
      <c r="E91" s="140">
        <v>300</v>
      </c>
      <c r="F91" s="136">
        <f>0.11945</f>
        <v>0.11945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35">
      <c r="A92" s="1"/>
      <c r="B92" s="277"/>
      <c r="C92" s="89" t="s">
        <v>37</v>
      </c>
      <c r="D92" s="140">
        <v>50</v>
      </c>
      <c r="E92" s="140">
        <v>50</v>
      </c>
      <c r="F92" s="95">
        <f>1.09024</f>
        <v>1.0902400000000001</v>
      </c>
      <c r="G92" s="95">
        <f>13.93562</f>
        <v>13.93562</v>
      </c>
      <c r="H92" s="136">
        <f>E92-G92</f>
        <v>36.06438</v>
      </c>
      <c r="I92" s="95">
        <f>38.96297</f>
        <v>38.962969999999999</v>
      </c>
      <c r="J92" s="267"/>
    </row>
    <row r="93" spans="1:10" ht="18" customHeight="1" x14ac:dyDescent="0.35">
      <c r="A93" s="1"/>
      <c r="B93" s="277"/>
      <c r="C93" s="89" t="s">
        <v>52</v>
      </c>
      <c r="D93" s="140"/>
      <c r="E93" s="136"/>
      <c r="F93" s="136">
        <f>0</f>
        <v>0</v>
      </c>
      <c r="G93" s="136">
        <f>12.88736</f>
        <v>12.887359999999999</v>
      </c>
      <c r="H93" s="136">
        <f t="shared" ref="H93" si="10">E93-G93</f>
        <v>-12.887359999999999</v>
      </c>
      <c r="I93" s="136">
        <f>18.69044</f>
        <v>18.690439999999999</v>
      </c>
      <c r="J93" s="267"/>
    </row>
    <row r="94" spans="1:10" ht="16.5" customHeight="1" x14ac:dyDescent="0.35">
      <c r="A94" s="1"/>
      <c r="B94" s="277"/>
      <c r="C94" s="71" t="s">
        <v>39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575.13702999999998</v>
      </c>
      <c r="G94" s="73">
        <f t="shared" si="12"/>
        <v>55739.73042</v>
      </c>
      <c r="H94" s="73">
        <f t="shared" si="12"/>
        <v>15199.269579999998</v>
      </c>
      <c r="I94" s="73">
        <f t="shared" si="12"/>
        <v>64391.85435999999</v>
      </c>
      <c r="J94" s="267"/>
    </row>
    <row r="95" spans="1:10" ht="13.5" customHeight="1" x14ac:dyDescent="0.35">
      <c r="A95" s="1"/>
      <c r="B95" s="277"/>
      <c r="C95" s="74" t="s">
        <v>123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35">
      <c r="A96" s="1"/>
      <c r="B96" s="24"/>
      <c r="C96" s="156" t="s">
        <v>159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35">
      <c r="A97" s="1"/>
      <c r="B97" s="24"/>
      <c r="C97" s="156" t="s">
        <v>155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35">
      <c r="A98" s="1"/>
      <c r="B98" s="24"/>
      <c r="C98" s="251" t="s">
        <v>53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109</v>
      </c>
      <c r="D100" s="251"/>
      <c r="E100" s="251"/>
      <c r="F100" s="251"/>
      <c r="G100" s="251"/>
      <c r="H100" s="251"/>
      <c r="I100" s="101"/>
      <c r="J100" s="101" t="s">
        <v>109</v>
      </c>
    </row>
    <row r="101" spans="1:10" ht="14.25" customHeight="1" x14ac:dyDescent="0.35">
      <c r="A101" s="1"/>
      <c r="B101" s="101"/>
      <c r="C101" s="101" t="s">
        <v>109</v>
      </c>
      <c r="D101" s="101" t="s">
        <v>109</v>
      </c>
      <c r="E101" s="101"/>
      <c r="F101" s="101"/>
      <c r="G101" s="101"/>
      <c r="H101" s="101"/>
      <c r="I101" s="101"/>
      <c r="J101" s="101" t="s">
        <v>109</v>
      </c>
    </row>
    <row r="102" spans="1:10" ht="17.149999999999999" customHeight="1" x14ac:dyDescent="0.35">
      <c r="A102" s="223"/>
      <c r="B102" s="223"/>
      <c r="C102" s="233" t="s">
        <v>54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3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5" customHeight="1" x14ac:dyDescent="0.3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5" customHeight="1" x14ac:dyDescent="0.3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5" customHeight="1" x14ac:dyDescent="0.35">
      <c r="A108" s="1"/>
      <c r="B108" s="277"/>
      <c r="C108" s="271" t="s">
        <v>55</v>
      </c>
      <c r="D108" s="114">
        <v>1650</v>
      </c>
      <c r="E108" s="110" t="s">
        <v>56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5" customHeight="1" x14ac:dyDescent="0.35">
      <c r="A109" s="1"/>
      <c r="B109" s="149"/>
      <c r="C109" s="161"/>
      <c r="D109" s="185"/>
      <c r="E109" s="185" t="s">
        <v>57</v>
      </c>
      <c r="F109" s="114">
        <v>4267</v>
      </c>
      <c r="G109" s="110"/>
      <c r="H109" s="161"/>
      <c r="I109" s="173"/>
      <c r="J109" s="267"/>
    </row>
    <row r="110" spans="1:10" ht="12" customHeight="1" x14ac:dyDescent="0.35">
      <c r="A110" s="1"/>
      <c r="B110" s="277"/>
      <c r="C110" s="172" t="s">
        <v>46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35">
      <c r="A111" s="101"/>
      <c r="B111" s="24"/>
      <c r="C111" s="101" t="s">
        <v>124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3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86" t="s">
        <v>16</v>
      </c>
      <c r="D114" s="14" t="s">
        <v>17</v>
      </c>
      <c r="E114" s="14" t="s">
        <v>58</v>
      </c>
      <c r="F114" s="14" t="s">
        <v>162</v>
      </c>
      <c r="G114" s="14" t="s">
        <v>163</v>
      </c>
      <c r="H114" s="14" t="s">
        <v>164</v>
      </c>
      <c r="I114" s="14" t="s">
        <v>165</v>
      </c>
      <c r="J114" s="301"/>
    </row>
    <row r="115" spans="1:10" ht="14.15" customHeight="1" x14ac:dyDescent="0.35">
      <c r="A115" s="1"/>
      <c r="B115" s="277"/>
      <c r="C115" s="15" t="s">
        <v>59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102.84205</v>
      </c>
      <c r="G115" s="10">
        <f t="shared" si="13"/>
        <v>40362.097230000007</v>
      </c>
      <c r="H115" s="10">
        <f t="shared" si="13"/>
        <v>30652.902769999997</v>
      </c>
      <c r="I115" s="10">
        <f t="shared" si="13"/>
        <v>49856.469299999997</v>
      </c>
      <c r="J115" s="267"/>
    </row>
    <row r="116" spans="1:10" ht="14.15" customHeight="1" x14ac:dyDescent="0.35">
      <c r="A116" s="1"/>
      <c r="B116" s="277"/>
      <c r="C116" s="43" t="s">
        <v>20</v>
      </c>
      <c r="D116" s="44">
        <v>51830</v>
      </c>
      <c r="E116" s="44">
        <v>56450</v>
      </c>
      <c r="F116" s="22">
        <f>102.84205</f>
        <v>102.84205</v>
      </c>
      <c r="G116" s="22">
        <f>36167.55389</f>
        <v>36167.553890000003</v>
      </c>
      <c r="H116" s="22">
        <f>E116-G116</f>
        <v>20282.446109999997</v>
      </c>
      <c r="I116" s="22">
        <f>44125.08121</f>
        <v>44125.081209999997</v>
      </c>
      <c r="J116" s="267"/>
    </row>
    <row r="117" spans="1:10" ht="15" customHeight="1" x14ac:dyDescent="0.35">
      <c r="A117" s="1"/>
      <c r="B117" s="277"/>
      <c r="C117" s="43" t="s">
        <v>21</v>
      </c>
      <c r="D117" s="44">
        <v>12457</v>
      </c>
      <c r="E117" s="44">
        <v>14065</v>
      </c>
      <c r="F117" s="22">
        <f>0</f>
        <v>0</v>
      </c>
      <c r="G117" s="22">
        <f>4129.18574</f>
        <v>4129.1857399999999</v>
      </c>
      <c r="H117" s="22">
        <f>E117-G117</f>
        <v>9935.8142599999992</v>
      </c>
      <c r="I117" s="22">
        <f>5660.56194</f>
        <v>5660.5619399999996</v>
      </c>
      <c r="J117" s="267"/>
    </row>
    <row r="118" spans="1:10" ht="13.5" customHeight="1" x14ac:dyDescent="0.35">
      <c r="A118" s="1"/>
      <c r="B118" s="277"/>
      <c r="C118" s="47" t="s">
        <v>60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70.82615</f>
        <v>70.826149999999998</v>
      </c>
      <c r="J118" s="267"/>
    </row>
    <row r="119" spans="1:10" ht="14.25" customHeight="1" x14ac:dyDescent="0.35">
      <c r="A119" s="65"/>
      <c r="B119" s="75"/>
      <c r="C119" s="85" t="s">
        <v>61</v>
      </c>
      <c r="D119" s="87">
        <v>43775</v>
      </c>
      <c r="E119" s="87">
        <v>51430</v>
      </c>
      <c r="F119" s="92">
        <f>129.27</f>
        <v>129.27000000000001</v>
      </c>
      <c r="G119" s="92">
        <f>30066.6667+3148.5464</f>
        <v>33215.213100000001</v>
      </c>
      <c r="H119" s="92">
        <f>E119-G119</f>
        <v>18214.786899999999</v>
      </c>
      <c r="I119" s="92">
        <f>16066.3688</f>
        <v>16066.3688</v>
      </c>
      <c r="J119" s="111"/>
    </row>
    <row r="120" spans="1:10" ht="15.75" customHeight="1" x14ac:dyDescent="0.3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420.8895</v>
      </c>
      <c r="G120" s="91">
        <f t="shared" ref="G120" si="14">G121+G126+G129</f>
        <v>43806.130699999994</v>
      </c>
      <c r="H120" s="91">
        <f>H121+H126+H129</f>
        <v>31238.869299999998</v>
      </c>
      <c r="I120" s="91">
        <f>I121+I126+I129</f>
        <v>65043.912609999999</v>
      </c>
      <c r="J120" s="117"/>
    </row>
    <row r="121" spans="1:10" ht="14.15" customHeight="1" x14ac:dyDescent="0.35">
      <c r="A121" s="1"/>
      <c r="B121" s="50"/>
      <c r="C121" s="118" t="s">
        <v>62</v>
      </c>
      <c r="D121" s="119">
        <f>D122+D123+D124+D125</f>
        <v>51362</v>
      </c>
      <c r="E121" s="119">
        <f>E122+E123+E124+E125</f>
        <v>56359</v>
      </c>
      <c r="F121" s="121">
        <f>F122+F123+F124+F125</f>
        <v>320.25733000000002</v>
      </c>
      <c r="G121" s="121">
        <f>G122+G123+G125+G124</f>
        <v>32294.852989999999</v>
      </c>
      <c r="H121" s="121">
        <f>H122+H123+H124+H125</f>
        <v>24064.147010000001</v>
      </c>
      <c r="I121" s="121">
        <f>I122+I123+I124+I125</f>
        <v>50188.231540000001</v>
      </c>
      <c r="J121" s="301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16016</v>
      </c>
      <c r="F122" s="123">
        <f>98.92137</f>
        <v>98.921369999999996</v>
      </c>
      <c r="G122" s="123">
        <f>7947.99952</f>
        <v>7947.9995200000003</v>
      </c>
      <c r="H122" s="123">
        <f>E122-G122</f>
        <v>8068.0004799999997</v>
      </c>
      <c r="I122" s="123">
        <f>10004.47317</f>
        <v>10004.473169999999</v>
      </c>
      <c r="J122" s="125"/>
    </row>
    <row r="123" spans="1:10" ht="14.15" customHeight="1" x14ac:dyDescent="0.35">
      <c r="A123" s="192"/>
      <c r="B123" s="176"/>
      <c r="C123" s="60" t="s">
        <v>48</v>
      </c>
      <c r="D123" s="61">
        <v>14094</v>
      </c>
      <c r="E123" s="61">
        <v>14854</v>
      </c>
      <c r="F123" s="123">
        <f>36.03092</f>
        <v>36.030920000000002</v>
      </c>
      <c r="G123" s="123">
        <f>9047.1712-90.7467</f>
        <v>8956.424500000001</v>
      </c>
      <c r="H123" s="123">
        <f>E123-G123</f>
        <v>5897.575499999999</v>
      </c>
      <c r="I123" s="123">
        <f>12983.518</f>
        <v>12983.518</v>
      </c>
      <c r="J123" s="126"/>
    </row>
    <row r="124" spans="1:10" ht="14.15" customHeight="1" x14ac:dyDescent="0.35">
      <c r="A124" s="192"/>
      <c r="B124" s="176"/>
      <c r="C124" s="60" t="s">
        <v>49</v>
      </c>
      <c r="D124" s="61">
        <v>12169</v>
      </c>
      <c r="E124" s="61">
        <v>12872</v>
      </c>
      <c r="F124" s="123">
        <f>92.39864</f>
        <v>92.39864</v>
      </c>
      <c r="G124" s="123">
        <f>8581.46525-630.3545</f>
        <v>7951.1107499999989</v>
      </c>
      <c r="H124" s="123">
        <f>E124-G124</f>
        <v>4920.8892500000011</v>
      </c>
      <c r="I124" s="123">
        <f>13144.76397</f>
        <v>13144.76397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12617</v>
      </c>
      <c r="F125" s="123">
        <f>92.9064</f>
        <v>92.906400000000005</v>
      </c>
      <c r="G125" s="123">
        <f>9866.76342-2427.4452</f>
        <v>7439.3182199999992</v>
      </c>
      <c r="H125" s="123">
        <f>E125-G125</f>
        <v>5177.6817800000008</v>
      </c>
      <c r="I125" s="123">
        <f>14055.4764</f>
        <v>14055.4764</v>
      </c>
      <c r="J125" s="126"/>
    </row>
    <row r="126" spans="1:10" ht="14.15" customHeight="1" x14ac:dyDescent="0.35">
      <c r="A126" s="64"/>
      <c r="B126" s="51"/>
      <c r="C126" s="54" t="s">
        <v>28</v>
      </c>
      <c r="D126" s="55">
        <f>D127+D128</f>
        <v>7319</v>
      </c>
      <c r="E126" s="55">
        <f>E127+E128</f>
        <v>7742</v>
      </c>
      <c r="F126" s="129">
        <f>SUM(F127:F128)</f>
        <v>0.93479999999999996</v>
      </c>
      <c r="G126" s="129">
        <f>SUM(G127:G128)</f>
        <v>6277.5983200000001</v>
      </c>
      <c r="H126" s="129">
        <f>H127+H128</f>
        <v>1464.4016799999997</v>
      </c>
      <c r="I126" s="129">
        <f>SUM(I127:I128)</f>
        <v>8917.3474500000011</v>
      </c>
      <c r="J126" s="130"/>
    </row>
    <row r="127" spans="1:10" ht="14.15" customHeight="1" x14ac:dyDescent="0.35">
      <c r="A127" s="1"/>
      <c r="B127" s="277"/>
      <c r="C127" s="60" t="s">
        <v>63</v>
      </c>
      <c r="D127" s="61">
        <v>6819</v>
      </c>
      <c r="E127" s="61">
        <v>7242</v>
      </c>
      <c r="F127" s="123">
        <f>0</f>
        <v>0</v>
      </c>
      <c r="G127" s="123">
        <f>6093.39083</f>
        <v>6093.3908300000003</v>
      </c>
      <c r="H127" s="123">
        <f t="shared" ref="H127:H135" si="15">E127-G127</f>
        <v>1148.6091699999997</v>
      </c>
      <c r="I127" s="123">
        <f>8475.63584</f>
        <v>8475.6358400000008</v>
      </c>
      <c r="J127" s="117"/>
    </row>
    <row r="128" spans="1:10" ht="15" customHeight="1" x14ac:dyDescent="0.35">
      <c r="A128" s="1"/>
      <c r="B128" s="51"/>
      <c r="C128" s="60" t="s">
        <v>64</v>
      </c>
      <c r="D128" s="61">
        <v>500</v>
      </c>
      <c r="E128" s="61">
        <v>500</v>
      </c>
      <c r="F128" s="123">
        <f>0.9348</f>
        <v>0.93479999999999996</v>
      </c>
      <c r="G128" s="123">
        <f>184.20749</f>
        <v>184.20749000000001</v>
      </c>
      <c r="H128" s="123">
        <f t="shared" si="15"/>
        <v>315.79250999999999</v>
      </c>
      <c r="I128" s="123">
        <f>441.71161</f>
        <v>441.71161000000001</v>
      </c>
      <c r="J128" s="131"/>
    </row>
    <row r="129" spans="1:10" ht="15.75" customHeight="1" x14ac:dyDescent="0.35">
      <c r="A129" s="1"/>
      <c r="B129" s="277"/>
      <c r="C129" s="37" t="s">
        <v>11</v>
      </c>
      <c r="D129" s="59">
        <v>9315</v>
      </c>
      <c r="E129" s="59">
        <v>10944</v>
      </c>
      <c r="F129" s="72">
        <f>99.69737</f>
        <v>99.697370000000006</v>
      </c>
      <c r="G129" s="72">
        <f>5233.67939</f>
        <v>5233.6793900000002</v>
      </c>
      <c r="H129" s="72">
        <f t="shared" si="15"/>
        <v>5710.3206099999998</v>
      </c>
      <c r="I129" s="72">
        <f>5938.33362</f>
        <v>5938.3336200000003</v>
      </c>
      <c r="J129" s="117"/>
    </row>
    <row r="130" spans="1:10" ht="15.75" customHeight="1" x14ac:dyDescent="0.35">
      <c r="A130" s="1"/>
      <c r="B130" s="277"/>
      <c r="C130" s="139" t="s">
        <v>33</v>
      </c>
      <c r="D130" s="140">
        <v>146</v>
      </c>
      <c r="E130" s="140">
        <v>146</v>
      </c>
      <c r="F130" s="136">
        <f>0</f>
        <v>0</v>
      </c>
      <c r="G130" s="136">
        <f>17.80118</f>
        <v>17.801179999999999</v>
      </c>
      <c r="H130" s="136">
        <f t="shared" si="15"/>
        <v>128.19882000000001</v>
      </c>
      <c r="I130" s="136">
        <f>15.95555</f>
        <v>15.955550000000001</v>
      </c>
      <c r="J130" s="117"/>
    </row>
    <row r="131" spans="1:10" ht="15.75" customHeight="1" x14ac:dyDescent="0.35">
      <c r="A131" s="1"/>
      <c r="B131" s="277"/>
      <c r="C131" s="137" t="s">
        <v>65</v>
      </c>
      <c r="D131" s="86">
        <v>350</v>
      </c>
      <c r="E131" s="86">
        <v>350</v>
      </c>
      <c r="F131" s="95">
        <f>0</f>
        <v>0</v>
      </c>
      <c r="G131" s="95">
        <f>1.001</f>
        <v>1.0009999999999999</v>
      </c>
      <c r="H131" s="95">
        <f t="shared" si="15"/>
        <v>348.99900000000002</v>
      </c>
      <c r="I131" s="95">
        <f>256.036</f>
        <v>256.036</v>
      </c>
      <c r="J131" s="117"/>
    </row>
    <row r="132" spans="1:10" ht="18" customHeight="1" x14ac:dyDescent="0.35">
      <c r="A132" s="1"/>
      <c r="B132" s="277"/>
      <c r="C132" s="137" t="s">
        <v>66</v>
      </c>
      <c r="D132" s="140">
        <v>2000</v>
      </c>
      <c r="E132" s="140">
        <v>2000</v>
      </c>
      <c r="F132" s="136">
        <f>0.72626</f>
        <v>0.72626000000000002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35">
      <c r="A133" s="1"/>
      <c r="B133" s="277"/>
      <c r="C133" s="139" t="s">
        <v>36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77"/>
      <c r="C134" s="139" t="s">
        <v>67</v>
      </c>
      <c r="D134" s="140">
        <v>313</v>
      </c>
      <c r="E134" s="140">
        <v>313</v>
      </c>
      <c r="F134" s="95">
        <f>0.8692</f>
        <v>0.86919999999999997</v>
      </c>
      <c r="G134" s="95">
        <f>89.2563</f>
        <v>89.256299999999996</v>
      </c>
      <c r="H134" s="136">
        <f t="shared" si="15"/>
        <v>223.74369999999999</v>
      </c>
      <c r="I134" s="95">
        <f>54.48481</f>
        <v>54.484810000000003</v>
      </c>
      <c r="J134" s="117"/>
    </row>
    <row r="135" spans="1:10" ht="15" customHeight="1" x14ac:dyDescent="0.35">
      <c r="A135" s="1"/>
      <c r="B135" s="277"/>
      <c r="C135" s="139" t="s">
        <v>38</v>
      </c>
      <c r="D135" s="142"/>
      <c r="E135" s="140"/>
      <c r="F135" s="136">
        <f>0</f>
        <v>0</v>
      </c>
      <c r="G135" s="136">
        <f>91.98029</f>
        <v>91.980289999999997</v>
      </c>
      <c r="H135" s="136">
        <f t="shared" si="15"/>
        <v>-91.980289999999997</v>
      </c>
      <c r="I135" s="136">
        <f>122.11524</f>
        <v>122.11524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39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654.59700999999995</v>
      </c>
      <c r="G137" s="73">
        <f>G115+G119+G120+G130+G131+G132+G133+G134+G135</f>
        <v>119583.4798</v>
      </c>
      <c r="H137" s="73">
        <f>H115+H119+H120+H130+H131+H132+H133+H134+H135</f>
        <v>80715.520199999984</v>
      </c>
      <c r="I137" s="73">
        <f>I115+I119+I120+I130+I131+I132+I133+I134+I135</f>
        <v>133415.34231000001</v>
      </c>
      <c r="J137" s="155"/>
    </row>
    <row r="138" spans="1:10" ht="14.25" customHeight="1" x14ac:dyDescent="0.35">
      <c r="A138" s="152"/>
      <c r="B138" s="50"/>
      <c r="C138" s="156" t="s">
        <v>68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125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3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35">
      <c r="A141" s="152"/>
      <c r="B141" s="50"/>
      <c r="C141" s="74" t="s">
        <v>160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35">
      <c r="A142" s="152"/>
      <c r="B142" s="50"/>
      <c r="C142" s="156" t="s">
        <v>128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35">
      <c r="A143" s="152"/>
      <c r="B143" s="50"/>
      <c r="C143" s="74" t="s">
        <v>134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109</v>
      </c>
      <c r="B147" s="2"/>
      <c r="C147" s="233" t="s">
        <v>69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109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109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5" customHeight="1" x14ac:dyDescent="0.3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5" customHeight="1" x14ac:dyDescent="0.3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5" customHeight="1" x14ac:dyDescent="0.35">
      <c r="A153" s="1"/>
      <c r="B153" s="277"/>
      <c r="C153" s="172" t="s">
        <v>70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5" customHeight="1" x14ac:dyDescent="0.35">
      <c r="A154" s="1"/>
      <c r="B154" s="277"/>
      <c r="C154" s="172" t="s">
        <v>46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5" customHeight="1" x14ac:dyDescent="0.3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3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3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162</v>
      </c>
      <c r="F159" s="14" t="s">
        <v>163</v>
      </c>
      <c r="G159" s="52" t="s">
        <v>164</v>
      </c>
      <c r="H159" s="14" t="s">
        <v>165</v>
      </c>
      <c r="I159" s="152"/>
      <c r="J159" s="301"/>
    </row>
    <row r="160" spans="1:10" ht="14.15" customHeight="1" x14ac:dyDescent="0.35">
      <c r="A160" s="1"/>
      <c r="B160" s="277"/>
      <c r="C160" s="138" t="s">
        <v>71</v>
      </c>
      <c r="D160" s="91">
        <v>3762</v>
      </c>
      <c r="E160" s="297">
        <f>27.02001</f>
        <v>27.020009999999999</v>
      </c>
      <c r="F160" s="297">
        <f>1026.93886</f>
        <v>1026.93886</v>
      </c>
      <c r="G160" s="42">
        <f>D160-F160-F161</f>
        <v>1524.2022599999998</v>
      </c>
      <c r="H160" s="297">
        <f>1083.39556</f>
        <v>1083.3955599999999</v>
      </c>
      <c r="I160" s="1"/>
      <c r="J160" s="117"/>
    </row>
    <row r="161" spans="1:10" ht="14.15" customHeight="1" x14ac:dyDescent="0.35">
      <c r="A161" s="1"/>
      <c r="B161" s="277"/>
      <c r="C161" s="133" t="s">
        <v>50</v>
      </c>
      <c r="D161" s="175"/>
      <c r="E161" s="148">
        <f>0</f>
        <v>0</v>
      </c>
      <c r="F161" s="148">
        <f>1210.85888</f>
        <v>1210.85888</v>
      </c>
      <c r="G161" s="219"/>
      <c r="H161" s="148">
        <f>1567.11344</f>
        <v>1567.1134400000001</v>
      </c>
      <c r="I161" s="1"/>
      <c r="J161" s="117"/>
    </row>
    <row r="162" spans="1:10" ht="15.65" customHeight="1" x14ac:dyDescent="0.35">
      <c r="A162" s="1"/>
      <c r="B162" s="277"/>
      <c r="C162" s="163" t="s">
        <v>72</v>
      </c>
      <c r="D162" s="95">
        <v>200</v>
      </c>
      <c r="E162" s="166">
        <f>0</f>
        <v>0</v>
      </c>
      <c r="F162" s="166">
        <f>87.07938</f>
        <v>87.07938</v>
      </c>
      <c r="G162" s="166">
        <f>D162-F162</f>
        <v>112.92062</v>
      </c>
      <c r="H162" s="166">
        <f>104.73957</f>
        <v>104.73957</v>
      </c>
      <c r="I162" s="1"/>
      <c r="J162" s="117"/>
    </row>
    <row r="163" spans="1:10" ht="14.15" customHeight="1" x14ac:dyDescent="0.35">
      <c r="A163" s="65"/>
      <c r="B163" s="75"/>
      <c r="C163" s="174" t="s">
        <v>73</v>
      </c>
      <c r="D163" s="175">
        <v>5642</v>
      </c>
      <c r="E163" s="175">
        <f>E164+E165+E166</f>
        <v>5.7014000000000005</v>
      </c>
      <c r="F163" s="175">
        <f>F164+F165+F166</f>
        <v>5427.4256800000003</v>
      </c>
      <c r="G163" s="175">
        <f>D163-F163</f>
        <v>214.57431999999972</v>
      </c>
      <c r="H163" s="175">
        <f>H164+H165+H166</f>
        <v>5967.6721200000002</v>
      </c>
      <c r="I163" s="65"/>
      <c r="J163" s="111"/>
    </row>
    <row r="164" spans="1:10" ht="14.15" customHeight="1" x14ac:dyDescent="0.35">
      <c r="A164" s="192"/>
      <c r="B164" s="176"/>
      <c r="C164" s="177" t="s">
        <v>74</v>
      </c>
      <c r="D164" s="123"/>
      <c r="E164" s="123">
        <f>1.28272</f>
        <v>1.2827200000000001</v>
      </c>
      <c r="F164" s="123">
        <f>3068.46102</f>
        <v>3068.4610200000002</v>
      </c>
      <c r="G164" s="123"/>
      <c r="H164" s="123">
        <f>3089.81494</f>
        <v>3089.8149400000002</v>
      </c>
      <c r="I164" s="181"/>
      <c r="J164" s="126"/>
    </row>
    <row r="165" spans="1:10" ht="14.15" customHeight="1" x14ac:dyDescent="0.35">
      <c r="A165" s="192"/>
      <c r="B165" s="176"/>
      <c r="C165" s="177" t="s">
        <v>75</v>
      </c>
      <c r="D165" s="123"/>
      <c r="E165" s="123">
        <f>4.41868</f>
        <v>4.4186800000000002</v>
      </c>
      <c r="F165" s="123">
        <f>1578.62908</f>
        <v>1578.6290799999999</v>
      </c>
      <c r="G165" s="123"/>
      <c r="H165" s="123">
        <f>1815.98779</f>
        <v>1815.9877899999999</v>
      </c>
      <c r="I165" s="181"/>
      <c r="J165" s="182"/>
    </row>
    <row r="166" spans="1:10" ht="14.15" customHeight="1" x14ac:dyDescent="0.35">
      <c r="A166" s="192"/>
      <c r="B166" s="176"/>
      <c r="C166" s="183" t="s">
        <v>76</v>
      </c>
      <c r="D166" s="186"/>
      <c r="E166" s="186">
        <f>0</f>
        <v>0</v>
      </c>
      <c r="F166" s="186">
        <f>780.33558</f>
        <v>780.33558000000005</v>
      </c>
      <c r="G166" s="186"/>
      <c r="H166" s="186">
        <f>1061.86939</f>
        <v>1061.8693900000001</v>
      </c>
      <c r="I166" s="181"/>
      <c r="J166" s="182"/>
    </row>
    <row r="167" spans="1:10" ht="14.15" customHeight="1" x14ac:dyDescent="0.35">
      <c r="A167" s="1"/>
      <c r="B167" s="277"/>
      <c r="C167" s="70" t="s">
        <v>77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35">
      <c r="A168" s="1"/>
      <c r="B168" s="277"/>
      <c r="C168" s="89" t="s">
        <v>78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99999999999999" customHeight="1" x14ac:dyDescent="0.35">
      <c r="A169" s="152"/>
      <c r="B169" s="50"/>
      <c r="C169" s="71" t="s">
        <v>39</v>
      </c>
      <c r="D169" s="188">
        <f>D160+D162+D163+D167</f>
        <v>9675</v>
      </c>
      <c r="E169" s="188">
        <f>E160+E161+E162+E163+E167+E168</f>
        <v>32.721409999999999</v>
      </c>
      <c r="F169" s="188">
        <f>F160+F161+F162+F163+F167+F168</f>
        <v>7757.6559000000007</v>
      </c>
      <c r="G169" s="188">
        <f>D169-F169</f>
        <v>1917.3440999999993</v>
      </c>
      <c r="H169" s="188">
        <f>H160+H161+H162+H163+H167+H168</f>
        <v>8722.9206900000008</v>
      </c>
      <c r="I169" s="159"/>
      <c r="J169" s="155"/>
    </row>
    <row r="170" spans="1:10" ht="42" customHeight="1" x14ac:dyDescent="0.35">
      <c r="A170" s="1"/>
      <c r="B170" s="193"/>
      <c r="C170" s="250" t="s">
        <v>129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35">
      <c r="A171" s="152" t="s">
        <v>109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109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3" t="s">
        <v>79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109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3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77"/>
      <c r="C178" s="281" t="s">
        <v>80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77"/>
      <c r="C179" s="271" t="s">
        <v>81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77"/>
      <c r="C180" s="271" t="s">
        <v>82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77"/>
      <c r="C181" s="57" t="s">
        <v>46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77"/>
      <c r="C182" s="101" t="s">
        <v>130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77"/>
      <c r="C183" s="101" t="s">
        <v>131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77"/>
      <c r="C184" s="101" t="s">
        <v>132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3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77"/>
      <c r="C188" s="68" t="s">
        <v>16</v>
      </c>
      <c r="D188" s="210" t="s">
        <v>2</v>
      </c>
      <c r="E188" s="14" t="s">
        <v>137</v>
      </c>
      <c r="F188" s="68" t="s">
        <v>162</v>
      </c>
      <c r="G188" s="68" t="s">
        <v>163</v>
      </c>
      <c r="H188" s="68" t="s">
        <v>164</v>
      </c>
      <c r="I188" s="68" t="s">
        <v>165</v>
      </c>
      <c r="J188" s="117"/>
    </row>
    <row r="189" spans="1:10" ht="15" customHeight="1" x14ac:dyDescent="0.35">
      <c r="A189" s="1"/>
      <c r="B189" s="277"/>
      <c r="C189" s="90" t="s">
        <v>4</v>
      </c>
      <c r="D189" s="124">
        <v>44142</v>
      </c>
      <c r="E189" s="124">
        <v>43335</v>
      </c>
      <c r="F189" s="124">
        <f>52.06246</f>
        <v>52.062460000000002</v>
      </c>
      <c r="G189" s="124">
        <f>44026.65342</f>
        <v>44026.653420000002</v>
      </c>
      <c r="H189" s="124">
        <f>E189-G189</f>
        <v>-691.65342000000237</v>
      </c>
      <c r="I189" s="124">
        <f>41433.17261</f>
        <v>41433.172610000001</v>
      </c>
      <c r="J189" s="117"/>
    </row>
    <row r="190" spans="1:10" ht="15" customHeight="1" x14ac:dyDescent="0.35">
      <c r="A190" s="1"/>
      <c r="B190" s="277"/>
      <c r="C190" s="90" t="s">
        <v>64</v>
      </c>
      <c r="D190" s="124">
        <v>100</v>
      </c>
      <c r="E190" s="124">
        <v>100</v>
      </c>
      <c r="F190" s="124">
        <f>0.5876</f>
        <v>0.58760000000000001</v>
      </c>
      <c r="G190" s="124">
        <f>37.78914</f>
        <v>37.789140000000003</v>
      </c>
      <c r="H190" s="124">
        <f>E190-G190</f>
        <v>62.210859999999997</v>
      </c>
      <c r="I190" s="124">
        <f>40.45848</f>
        <v>40.458480000000002</v>
      </c>
      <c r="J190" s="117"/>
    </row>
    <row r="191" spans="1:10" ht="15.75" customHeight="1" x14ac:dyDescent="0.35">
      <c r="A191" s="1"/>
      <c r="B191" s="277"/>
      <c r="C191" s="146" t="s">
        <v>77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E191-G191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77"/>
      <c r="C192" s="179" t="s">
        <v>83</v>
      </c>
      <c r="D192" s="190">
        <f>SUM(D189:D191)</f>
        <v>44278</v>
      </c>
      <c r="E192" s="190">
        <f>SUM(E189:E191)</f>
        <v>43471</v>
      </c>
      <c r="F192" s="190">
        <f>SUM(F189:F191)</f>
        <v>52.650060000000003</v>
      </c>
      <c r="G192" s="190">
        <f>SUM(G189:G191)</f>
        <v>44064.442560000003</v>
      </c>
      <c r="H192" s="190">
        <f>E192-G192</f>
        <v>-593.44256000000314</v>
      </c>
      <c r="I192" s="190">
        <f>SUM(I189:I191)</f>
        <v>41473.631090000003</v>
      </c>
      <c r="J192" s="117"/>
    </row>
    <row r="193" spans="1:10" ht="12" customHeight="1" x14ac:dyDescent="0.35">
      <c r="A193" s="1"/>
      <c r="B193" s="277"/>
      <c r="C193" s="101" t="s">
        <v>84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138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3" t="s">
        <v>110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109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3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77"/>
      <c r="C201" s="68" t="s">
        <v>16</v>
      </c>
      <c r="D201" s="79" t="s">
        <v>2</v>
      </c>
      <c r="E201" s="68" t="s">
        <v>162</v>
      </c>
      <c r="F201" s="68" t="s">
        <v>163</v>
      </c>
      <c r="G201" s="68" t="s">
        <v>164</v>
      </c>
      <c r="H201" s="68" t="s">
        <v>165</v>
      </c>
      <c r="I201" s="1"/>
      <c r="J201" s="117"/>
    </row>
    <row r="202" spans="1:10" ht="15" customHeight="1" x14ac:dyDescent="0.35">
      <c r="A202" s="1"/>
      <c r="B202" s="277"/>
      <c r="C202" s="90" t="s">
        <v>113</v>
      </c>
      <c r="D202" s="124">
        <v>3987</v>
      </c>
      <c r="E202" s="72">
        <f>E203+E204</f>
        <v>48.66142</v>
      </c>
      <c r="F202" s="72">
        <f>F203+F204</f>
        <v>3824.3926199999996</v>
      </c>
      <c r="G202" s="72">
        <f>D202-F202</f>
        <v>162.60738000000038</v>
      </c>
      <c r="H202" s="72">
        <f>H203+H204</f>
        <v>4213.2493400000003</v>
      </c>
      <c r="I202" s="271"/>
      <c r="J202" s="117"/>
    </row>
    <row r="203" spans="1:10" ht="15" customHeight="1" x14ac:dyDescent="0.35">
      <c r="A203" s="1"/>
      <c r="B203" s="277"/>
      <c r="C203" s="172" t="s">
        <v>8</v>
      </c>
      <c r="D203" s="124"/>
      <c r="E203" s="72">
        <f>46.0708</f>
        <v>46.070799999999998</v>
      </c>
      <c r="F203" s="72">
        <f>3146.3774</f>
        <v>3146.3773999999999</v>
      </c>
      <c r="G203" s="72"/>
      <c r="H203" s="72">
        <f>3635.96121</f>
        <v>3635.9612099999999</v>
      </c>
      <c r="I203" s="271"/>
      <c r="J203" s="117"/>
    </row>
    <row r="204" spans="1:10" ht="15" customHeight="1" x14ac:dyDescent="0.35">
      <c r="A204" s="1"/>
      <c r="B204" s="277"/>
      <c r="C204" s="172" t="s">
        <v>64</v>
      </c>
      <c r="D204" s="124"/>
      <c r="E204" s="124">
        <f>2.59062</f>
        <v>2.5906199999999999</v>
      </c>
      <c r="F204" s="124">
        <f>678.01522</f>
        <v>678.01522</v>
      </c>
      <c r="G204" s="168"/>
      <c r="H204" s="124">
        <f>577.28813</f>
        <v>577.28813000000002</v>
      </c>
      <c r="I204" s="271"/>
      <c r="J204" s="117"/>
    </row>
    <row r="205" spans="1:10" ht="15" customHeight="1" x14ac:dyDescent="0.35">
      <c r="A205" s="1"/>
      <c r="B205" s="277"/>
      <c r="C205" s="90" t="s">
        <v>114</v>
      </c>
      <c r="D205" s="124">
        <v>4613</v>
      </c>
      <c r="E205" s="72">
        <f>24.53352</f>
        <v>24.533519999999999</v>
      </c>
      <c r="F205" s="72">
        <f>4576.52007</f>
        <v>4576.5200699999996</v>
      </c>
      <c r="G205" s="72">
        <f>D205-F205</f>
        <v>36.479930000000422</v>
      </c>
      <c r="H205" s="72">
        <f>5305.31936</f>
        <v>5305.3193600000004</v>
      </c>
      <c r="I205" s="271"/>
      <c r="J205" s="117"/>
    </row>
    <row r="206" spans="1:10" ht="16.5" customHeight="1" x14ac:dyDescent="0.35">
      <c r="A206" s="1"/>
      <c r="B206" s="277"/>
      <c r="C206" s="179" t="s">
        <v>83</v>
      </c>
      <c r="D206" s="190">
        <f>D205+D202</f>
        <v>8600</v>
      </c>
      <c r="E206" s="190">
        <f>SUM(E202,E205)</f>
        <v>73.194940000000003</v>
      </c>
      <c r="F206" s="190">
        <f>SUM(F202,F205)</f>
        <v>8400.9126899999992</v>
      </c>
      <c r="G206" s="190">
        <f>D206-F206</f>
        <v>199.0873100000008</v>
      </c>
      <c r="H206" s="190">
        <f>SUM(H202,H205)</f>
        <v>9518.5686999999998</v>
      </c>
      <c r="I206" s="271"/>
      <c r="J206" s="117"/>
    </row>
    <row r="207" spans="1:10" ht="19.5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3" t="s">
        <v>111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5">
      <c r="A210" s="145" t="s">
        <v>109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3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77"/>
      <c r="C214" s="68" t="s">
        <v>16</v>
      </c>
      <c r="D214" s="79" t="s">
        <v>2</v>
      </c>
      <c r="E214" s="68" t="s">
        <v>162</v>
      </c>
      <c r="F214" s="68" t="s">
        <v>163</v>
      </c>
      <c r="G214" s="68" t="s">
        <v>164</v>
      </c>
      <c r="H214" s="68" t="s">
        <v>165</v>
      </c>
      <c r="I214" s="1"/>
      <c r="J214" s="117"/>
    </row>
    <row r="215" spans="1:10" ht="15" customHeight="1" x14ac:dyDescent="0.35">
      <c r="A215" s="1"/>
      <c r="B215" s="277"/>
      <c r="C215" s="90" t="s">
        <v>113</v>
      </c>
      <c r="D215" s="124">
        <v>5090</v>
      </c>
      <c r="E215" s="72">
        <f>E216+E217</f>
        <v>80.731940000000009</v>
      </c>
      <c r="F215" s="72">
        <f>F216+F217</f>
        <v>5332.1497799999997</v>
      </c>
      <c r="G215" s="72">
        <f>D215-F215</f>
        <v>-242.14977999999974</v>
      </c>
      <c r="H215" s="72">
        <f>H216+H217</f>
        <v>5300.1920300000002</v>
      </c>
      <c r="I215" s="271"/>
      <c r="J215" s="117"/>
    </row>
    <row r="216" spans="1:10" ht="15" customHeight="1" x14ac:dyDescent="0.35">
      <c r="A216" s="1"/>
      <c r="B216" s="277"/>
      <c r="C216" s="172" t="s">
        <v>8</v>
      </c>
      <c r="D216" s="124"/>
      <c r="E216" s="72">
        <f>79.3828</f>
        <v>79.382800000000003</v>
      </c>
      <c r="F216" s="72">
        <f>4984.92213</f>
        <v>4984.9221299999999</v>
      </c>
      <c r="G216" s="72"/>
      <c r="H216" s="72">
        <f>4830.26149</f>
        <v>4830.2614899999999</v>
      </c>
      <c r="I216" s="271"/>
      <c r="J216" s="117"/>
    </row>
    <row r="217" spans="1:10" ht="15" customHeight="1" x14ac:dyDescent="0.35">
      <c r="A217" s="1"/>
      <c r="B217" s="277"/>
      <c r="C217" s="172" t="s">
        <v>64</v>
      </c>
      <c r="D217" s="124"/>
      <c r="E217" s="124">
        <f>1.34914</f>
        <v>1.34914</v>
      </c>
      <c r="F217" s="124">
        <f>347.22765</f>
        <v>347.22764999999998</v>
      </c>
      <c r="G217" s="168"/>
      <c r="H217" s="124">
        <f>469.93054</f>
        <v>469.93054000000001</v>
      </c>
      <c r="I217" s="271"/>
      <c r="J217" s="117"/>
    </row>
    <row r="218" spans="1:10" ht="15" customHeight="1" x14ac:dyDescent="0.35">
      <c r="A218" s="1"/>
      <c r="B218" s="277"/>
      <c r="C218" s="90" t="s">
        <v>114</v>
      </c>
      <c r="D218" s="124">
        <v>2981</v>
      </c>
      <c r="E218" s="72">
        <f>82.5948</f>
        <v>82.594800000000006</v>
      </c>
      <c r="F218" s="72">
        <f>2352.89797</f>
        <v>2352.89797</v>
      </c>
      <c r="G218" s="72">
        <f>D218-F218</f>
        <v>628.10203000000001</v>
      </c>
      <c r="H218" s="72">
        <f>2709.52885</f>
        <v>2709.5288500000001</v>
      </c>
      <c r="I218" s="271"/>
      <c r="J218" s="117"/>
    </row>
    <row r="219" spans="1:10" ht="16.5" customHeight="1" x14ac:dyDescent="0.35">
      <c r="A219" s="1"/>
      <c r="B219" s="277"/>
      <c r="C219" s="179" t="s">
        <v>83</v>
      </c>
      <c r="D219" s="190">
        <f>D218+D215</f>
        <v>8071</v>
      </c>
      <c r="E219" s="190">
        <f>SUM(E215,E218)</f>
        <v>163.32674000000003</v>
      </c>
      <c r="F219" s="190">
        <f>SUM(F215,F218)</f>
        <v>7685.0477499999997</v>
      </c>
      <c r="G219" s="190">
        <f>D219-F219</f>
        <v>385.95225000000028</v>
      </c>
      <c r="H219" s="190">
        <f>SUM(H215,H218)</f>
        <v>8009.7208800000008</v>
      </c>
      <c r="I219" s="271"/>
      <c r="J219" s="117"/>
    </row>
    <row r="220" spans="1:10" ht="19.5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23"/>
      <c r="B222" s="223"/>
      <c r="C222" s="233" t="s">
        <v>85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35">
      <c r="A223" s="223" t="s">
        <v>109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77"/>
      <c r="C226" s="281" t="s">
        <v>80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5" customHeight="1" x14ac:dyDescent="0.35">
      <c r="A227" s="1"/>
      <c r="B227" s="277"/>
      <c r="C227" s="271" t="s">
        <v>86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5" customHeight="1" x14ac:dyDescent="0.35">
      <c r="A228" s="1"/>
      <c r="B228" s="277"/>
      <c r="C228" s="271" t="s">
        <v>87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35">
      <c r="A229" s="1"/>
      <c r="B229" s="277"/>
      <c r="C229" s="271" t="s">
        <v>115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35">
      <c r="A230" s="1"/>
      <c r="B230" s="277"/>
      <c r="C230" s="57" t="s">
        <v>46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77"/>
      <c r="C231" s="251" t="s">
        <v>88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77"/>
      <c r="C232" s="101" t="s">
        <v>98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5" customHeight="1" x14ac:dyDescent="0.3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35">
      <c r="A236" s="1"/>
      <c r="B236" s="277"/>
      <c r="C236" s="68" t="s">
        <v>16</v>
      </c>
      <c r="D236" s="266" t="s">
        <v>2</v>
      </c>
      <c r="E236" s="68" t="s">
        <v>162</v>
      </c>
      <c r="F236" s="68" t="s">
        <v>163</v>
      </c>
      <c r="G236" s="68" t="s">
        <v>164</v>
      </c>
      <c r="H236" s="68" t="s">
        <v>165</v>
      </c>
      <c r="I236" s="1"/>
      <c r="J236" s="111"/>
    </row>
    <row r="237" spans="1:10" ht="14.15" customHeight="1" x14ac:dyDescent="0.35">
      <c r="A237" s="65"/>
      <c r="B237" s="75"/>
      <c r="C237" s="90" t="s">
        <v>89</v>
      </c>
      <c r="D237" s="124">
        <v>800</v>
      </c>
      <c r="E237" s="124">
        <f>0.78706</f>
        <v>0.78705999999999998</v>
      </c>
      <c r="F237" s="124">
        <f>523.171</f>
        <v>523.17100000000005</v>
      </c>
      <c r="G237" s="124">
        <f>D237-F237</f>
        <v>276.82899999999995</v>
      </c>
      <c r="H237" s="124">
        <f>593.5472</f>
        <v>593.54719999999998</v>
      </c>
      <c r="I237" s="65"/>
      <c r="J237" s="267"/>
    </row>
    <row r="238" spans="1:10" ht="14.15" customHeight="1" x14ac:dyDescent="0.35">
      <c r="A238" s="1"/>
      <c r="B238" s="277"/>
      <c r="C238" s="90" t="s">
        <v>90</v>
      </c>
      <c r="D238" s="269">
        <v>2193</v>
      </c>
      <c r="E238" s="124">
        <f>14.23589</f>
        <v>14.235889999999999</v>
      </c>
      <c r="F238" s="124">
        <f>1233.67215</f>
        <v>1233.6721500000001</v>
      </c>
      <c r="G238" s="124">
        <f>D238-F238</f>
        <v>959.3278499999999</v>
      </c>
      <c r="H238" s="124">
        <f>2246.76422</f>
        <v>2246.76422</v>
      </c>
      <c r="I238" s="173"/>
      <c r="J238" s="111"/>
    </row>
    <row r="239" spans="1:10" ht="16.5" customHeight="1" x14ac:dyDescent="0.35">
      <c r="A239" s="65"/>
      <c r="B239" s="75"/>
      <c r="C239" s="146" t="s">
        <v>77</v>
      </c>
      <c r="D239" s="269">
        <v>10</v>
      </c>
      <c r="E239" s="168">
        <f>0</f>
        <v>0</v>
      </c>
      <c r="F239" s="168">
        <f>3.0537</f>
        <v>3.0537000000000001</v>
      </c>
      <c r="G239" s="124">
        <f>D239-F239</f>
        <v>6.9462999999999999</v>
      </c>
      <c r="H239" s="168">
        <f>3.60962</f>
        <v>3.6096200000000001</v>
      </c>
      <c r="I239" s="65"/>
      <c r="J239" s="272"/>
    </row>
    <row r="240" spans="1:10" ht="18.75" customHeight="1" x14ac:dyDescent="0.35">
      <c r="A240" s="65"/>
      <c r="B240" s="273"/>
      <c r="C240" s="146" t="s">
        <v>91</v>
      </c>
      <c r="D240" s="245"/>
      <c r="E240" s="168">
        <f>0</f>
        <v>0</v>
      </c>
      <c r="F240" s="168">
        <f>3.25653</f>
        <v>3.2565300000000001</v>
      </c>
      <c r="G240" s="124">
        <f>D240-F240</f>
        <v>-3.2565300000000001</v>
      </c>
      <c r="H240" s="168">
        <f>0.248</f>
        <v>0.248</v>
      </c>
      <c r="I240" s="305"/>
      <c r="J240" s="117"/>
    </row>
    <row r="241" spans="1:10" ht="14.15" customHeight="1" x14ac:dyDescent="0.35">
      <c r="A241" s="1"/>
      <c r="B241" s="277"/>
      <c r="C241" s="179" t="s">
        <v>83</v>
      </c>
      <c r="D241" s="5">
        <f>D226</f>
        <v>3003</v>
      </c>
      <c r="E241" s="190">
        <f>SUM(E237:E240)</f>
        <v>15.02295</v>
      </c>
      <c r="F241" s="190">
        <f>SUM(F237:F240)</f>
        <v>1763.1533800000002</v>
      </c>
      <c r="G241" s="190">
        <f>D241-F241</f>
        <v>1239.8466199999998</v>
      </c>
      <c r="H241" s="190">
        <f>H237+H238+H239+H240</f>
        <v>2844.1690400000002</v>
      </c>
      <c r="I241" s="1"/>
      <c r="J241" s="117"/>
    </row>
    <row r="242" spans="1:10" ht="14.15" customHeight="1" x14ac:dyDescent="0.3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35">
      <c r="A244" s="1"/>
      <c r="C244" s="145" t="s">
        <v>109</v>
      </c>
    </row>
    <row r="245" spans="1:10" ht="14.15" customHeight="1" x14ac:dyDescent="0.35">
      <c r="A245" s="1" t="s">
        <v>109</v>
      </c>
    </row>
    <row r="246" spans="1:10" ht="30" customHeight="1" x14ac:dyDescent="0.5">
      <c r="A246" s="223"/>
      <c r="B246" s="1"/>
      <c r="C246" s="213" t="s">
        <v>92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93</v>
      </c>
      <c r="F249" s="180"/>
      <c r="G249" s="144" t="s">
        <v>94</v>
      </c>
      <c r="H249" s="180"/>
      <c r="I249" s="145"/>
      <c r="J249" s="127"/>
    </row>
    <row r="250" spans="1:10" ht="14.25" customHeight="1" x14ac:dyDescent="0.35">
      <c r="B250" s="69"/>
      <c r="C250" s="281" t="s">
        <v>80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71" t="s">
        <v>87</v>
      </c>
      <c r="D251" s="46">
        <f>25446+880-1500</f>
        <v>24826</v>
      </c>
      <c r="E251" s="173" t="s">
        <v>90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71" t="s">
        <v>86</v>
      </c>
      <c r="D252" s="46">
        <v>8940</v>
      </c>
      <c r="E252" s="173" t="s">
        <v>56</v>
      </c>
      <c r="F252" s="45">
        <v>5500</v>
      </c>
      <c r="G252" s="271" t="s">
        <v>95</v>
      </c>
      <c r="H252" s="46">
        <v>5043</v>
      </c>
      <c r="I252" s="145"/>
      <c r="J252" s="127"/>
    </row>
    <row r="253" spans="1:10" ht="14.15" customHeight="1" x14ac:dyDescent="0.35">
      <c r="B253" s="69"/>
      <c r="C253" s="271"/>
      <c r="D253" s="46"/>
      <c r="E253" s="128"/>
      <c r="F253" s="141"/>
      <c r="G253" s="271" t="s">
        <v>96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46</v>
      </c>
      <c r="D254" s="35">
        <v>71638</v>
      </c>
      <c r="E254" s="167" t="s">
        <v>97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126</v>
      </c>
      <c r="D255" s="173"/>
      <c r="E255" s="173"/>
      <c r="F255" s="173"/>
      <c r="G255" s="1"/>
      <c r="H255" s="173"/>
      <c r="I255" s="173"/>
      <c r="J255" s="267"/>
    </row>
    <row r="256" spans="1:10" ht="13.4" customHeight="1" x14ac:dyDescent="0.35">
      <c r="B256" s="69"/>
      <c r="C256" s="205" t="s">
        <v>116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3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35">
      <c r="B261" s="69"/>
      <c r="C261" s="246" t="s">
        <v>16</v>
      </c>
      <c r="D261" s="255" t="s">
        <v>17</v>
      </c>
      <c r="E261" s="68" t="s">
        <v>133</v>
      </c>
      <c r="F261" s="246" t="s">
        <v>162</v>
      </c>
      <c r="G261" s="246" t="s">
        <v>163</v>
      </c>
      <c r="H261" s="246" t="s">
        <v>164</v>
      </c>
      <c r="I261" s="246" t="s">
        <v>165</v>
      </c>
      <c r="J261" s="127"/>
    </row>
    <row r="262" spans="1:10" ht="14.15" customHeight="1" x14ac:dyDescent="0.3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13.415199999999999</v>
      </c>
      <c r="G262" s="276">
        <f t="shared" si="17"/>
        <v>21830.134019999998</v>
      </c>
      <c r="H262" s="276">
        <f>H266+H265+H264+H263</f>
        <v>5905.8659800000005</v>
      </c>
      <c r="I262" s="276">
        <f t="shared" si="17"/>
        <v>19031.873319999999</v>
      </c>
      <c r="J262" s="127"/>
    </row>
    <row r="263" spans="1:10" ht="14.15" customHeight="1" x14ac:dyDescent="0.35">
      <c r="A263" s="223"/>
      <c r="B263" s="69"/>
      <c r="C263" s="278" t="s">
        <v>99</v>
      </c>
      <c r="D263" s="279">
        <v>14132</v>
      </c>
      <c r="E263" s="279">
        <v>16670</v>
      </c>
      <c r="F263" s="280">
        <f>0</f>
        <v>0</v>
      </c>
      <c r="G263" s="280">
        <f>15137.14087</f>
        <v>15137.140869999999</v>
      </c>
      <c r="H263" s="280">
        <f t="shared" ref="H263:H267" si="18">E263-G263</f>
        <v>1532.8591300000007</v>
      </c>
      <c r="I263" s="280">
        <f>12766.95653</f>
        <v>12766.956529999999</v>
      </c>
      <c r="J263" s="127"/>
    </row>
    <row r="264" spans="1:10" ht="14.15" customHeight="1" x14ac:dyDescent="0.3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2125.20727</f>
        <v>2125.2072699999999</v>
      </c>
      <c r="H264" s="280">
        <f>E264-G264</f>
        <v>2213.7927300000001</v>
      </c>
      <c r="I264" s="280">
        <f>1998.07392</f>
        <v>1998.07392</v>
      </c>
      <c r="J264" s="127"/>
    </row>
    <row r="265" spans="1:10" ht="14.15" customHeight="1" x14ac:dyDescent="0.35">
      <c r="A265" s="223"/>
      <c r="B265" s="69"/>
      <c r="C265" s="282" t="s">
        <v>96</v>
      </c>
      <c r="D265" s="279">
        <v>1506</v>
      </c>
      <c r="E265" s="279">
        <v>1571</v>
      </c>
      <c r="F265" s="280">
        <f>9.4782</f>
        <v>9.4781999999999993</v>
      </c>
      <c r="G265" s="280">
        <f>1513.77349</f>
        <v>1513.77349</v>
      </c>
      <c r="H265" s="280">
        <f t="shared" si="18"/>
        <v>57.226509999999962</v>
      </c>
      <c r="I265" s="280">
        <f>1832.77221</f>
        <v>1832.7722100000001</v>
      </c>
      <c r="J265" s="127"/>
    </row>
    <row r="266" spans="1:10" ht="14.15" customHeight="1" x14ac:dyDescent="0.35">
      <c r="A266" s="223"/>
      <c r="B266" s="69"/>
      <c r="C266" s="284" t="s">
        <v>119</v>
      </c>
      <c r="D266" s="285">
        <v>5043</v>
      </c>
      <c r="E266" s="285">
        <v>5156</v>
      </c>
      <c r="F266" s="280">
        <f>3.937</f>
        <v>3.9369999999999998</v>
      </c>
      <c r="G266" s="280">
        <f>3054.01239</f>
        <v>3054.0123899999999</v>
      </c>
      <c r="H266" s="280">
        <f t="shared" si="18"/>
        <v>2101.9876100000001</v>
      </c>
      <c r="I266" s="280">
        <f>2434.07066</f>
        <v>2434.0706599999999</v>
      </c>
      <c r="J266" s="127"/>
    </row>
    <row r="267" spans="1:10" ht="14.15" customHeight="1" x14ac:dyDescent="0.35">
      <c r="A267" s="223"/>
      <c r="B267" s="69"/>
      <c r="C267" s="287" t="s">
        <v>56</v>
      </c>
      <c r="D267" s="288">
        <v>5500</v>
      </c>
      <c r="E267" s="288">
        <v>5500</v>
      </c>
      <c r="F267" s="290">
        <f>0.111</f>
        <v>0.111</v>
      </c>
      <c r="G267" s="290">
        <f>4103.01424</f>
        <v>4103.0142400000004</v>
      </c>
      <c r="H267" s="290">
        <f t="shared" si="18"/>
        <v>1396.9857599999996</v>
      </c>
      <c r="I267" s="290">
        <f>2112.93778</f>
        <v>2112.9377800000002</v>
      </c>
      <c r="J267" s="127"/>
    </row>
    <row r="268" spans="1:10" ht="14.15" customHeight="1" x14ac:dyDescent="0.3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57.827159999999999</v>
      </c>
      <c r="G268" s="291">
        <f>G270+G269</f>
        <v>3038.0499600000003</v>
      </c>
      <c r="H268" s="291">
        <f>E268-G268</f>
        <v>4961.9500399999997</v>
      </c>
      <c r="I268" s="291">
        <f>I270+I269</f>
        <v>3766.6614</v>
      </c>
      <c r="J268" s="127"/>
    </row>
    <row r="269" spans="1:10" ht="14.15" customHeight="1" x14ac:dyDescent="0.35">
      <c r="A269" s="223"/>
      <c r="B269" s="69"/>
      <c r="C269" s="282" t="s">
        <v>50</v>
      </c>
      <c r="D269" s="293"/>
      <c r="E269" s="279"/>
      <c r="F269" s="280">
        <f>0</f>
        <v>0</v>
      </c>
      <c r="G269" s="280">
        <f>526.65151</f>
        <v>526.65151000000003</v>
      </c>
      <c r="H269" s="280"/>
      <c r="I269" s="280">
        <f>1038.76929</f>
        <v>1038.76929</v>
      </c>
      <c r="J269" s="127"/>
    </row>
    <row r="270" spans="1:10" ht="14.15" customHeight="1" x14ac:dyDescent="0.35">
      <c r="A270" s="223"/>
      <c r="B270" s="69"/>
      <c r="C270" s="295" t="s">
        <v>100</v>
      </c>
      <c r="D270" s="296"/>
      <c r="E270" s="298"/>
      <c r="F270" s="299">
        <f>57.82716</f>
        <v>57.827159999999999</v>
      </c>
      <c r="G270" s="299">
        <f>2511.39845</f>
        <v>2511.3984500000001</v>
      </c>
      <c r="H270" s="299"/>
      <c r="I270" s="299">
        <f>2727.89211</f>
        <v>2727.8921099999998</v>
      </c>
      <c r="J270" s="127"/>
    </row>
    <row r="271" spans="1:10" ht="14.15" customHeight="1" x14ac:dyDescent="0.35">
      <c r="A271" s="223"/>
      <c r="B271" s="69"/>
      <c r="C271" s="287" t="s">
        <v>33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0.1484</f>
        <v>0.1484</v>
      </c>
      <c r="J271" s="127"/>
    </row>
    <row r="272" spans="1:10" ht="14.15" customHeight="1" x14ac:dyDescent="0.35">
      <c r="A272" s="223"/>
      <c r="B272" s="69"/>
      <c r="C272" s="300" t="s">
        <v>101</v>
      </c>
      <c r="D272" s="303"/>
      <c r="E272" s="304"/>
      <c r="F272" s="290">
        <f>0.09524</f>
        <v>9.5240000000000005E-2</v>
      </c>
      <c r="G272" s="290">
        <f>166.44473</f>
        <v>166.44472999999999</v>
      </c>
      <c r="H272" s="290">
        <f>E272-G272</f>
        <v>-166.44472999999999</v>
      </c>
      <c r="I272" s="290">
        <f>105.18143</f>
        <v>105.18143000000001</v>
      </c>
      <c r="J272" s="127"/>
    </row>
    <row r="273" spans="1:10" ht="19.5" customHeight="1" x14ac:dyDescent="0.35">
      <c r="A273" s="223"/>
      <c r="B273" s="69"/>
      <c r="C273" s="306" t="s">
        <v>39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71.448599999999999</v>
      </c>
      <c r="G273" s="308">
        <f t="shared" si="19"/>
        <v>29138.211449999999</v>
      </c>
      <c r="H273" s="308">
        <f>H262+H267+H268+H271+H272</f>
        <v>12110.788550000001</v>
      </c>
      <c r="I273" s="308">
        <f t="shared" si="19"/>
        <v>25016.802329999999</v>
      </c>
      <c r="J273" s="127"/>
    </row>
    <row r="274" spans="1:10" ht="14.15" customHeight="1" x14ac:dyDescent="0.35">
      <c r="A274" s="223"/>
      <c r="B274" s="69"/>
      <c r="C274" s="156" t="s">
        <v>102</v>
      </c>
      <c r="D274" s="310"/>
      <c r="E274" s="310"/>
      <c r="F274" s="3"/>
      <c r="G274" s="3"/>
      <c r="H274" s="4"/>
      <c r="I274" s="4"/>
      <c r="J274" s="127"/>
    </row>
    <row r="275" spans="1:10" ht="14.15" customHeight="1" x14ac:dyDescent="0.35">
      <c r="A275" s="223"/>
      <c r="B275" s="69"/>
      <c r="C275" s="101" t="s">
        <v>127</v>
      </c>
      <c r="D275" s="310"/>
      <c r="E275" s="310"/>
      <c r="F275" s="3"/>
      <c r="G275" s="3"/>
      <c r="H275" s="6"/>
      <c r="I275" s="4"/>
      <c r="J275" s="127"/>
    </row>
    <row r="276" spans="1:10" ht="14.15" customHeight="1" x14ac:dyDescent="0.35">
      <c r="A276" s="223"/>
      <c r="B276" s="69"/>
      <c r="C276" s="156" t="s">
        <v>135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3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23"/>
      <c r="B278" s="145" t="s">
        <v>109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23"/>
      <c r="C279" s="145" t="s">
        <v>109</v>
      </c>
      <c r="D279" s="152"/>
    </row>
    <row r="280" spans="1:10" ht="14.15" customHeight="1" x14ac:dyDescent="0.3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5" customHeight="1" x14ac:dyDescent="0.35">
      <c r="A281" s="223"/>
      <c r="B281" s="69"/>
      <c r="C281" s="233" t="s">
        <v>103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23"/>
      <c r="B284" s="69"/>
      <c r="C284" s="281" t="s">
        <v>6</v>
      </c>
      <c r="D284" s="292">
        <v>2338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23"/>
      <c r="B285" s="69"/>
      <c r="C285" s="271" t="s">
        <v>87</v>
      </c>
      <c r="D285" s="46">
        <v>1549</v>
      </c>
      <c r="E285" s="145"/>
      <c r="G285" s="145"/>
      <c r="H285" s="145"/>
      <c r="I285" s="145"/>
      <c r="J285" s="127"/>
    </row>
    <row r="286" spans="1:10" ht="14.15" customHeight="1" x14ac:dyDescent="0.35">
      <c r="A286" s="223"/>
      <c r="B286" s="69"/>
      <c r="C286" s="271" t="s">
        <v>70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23"/>
      <c r="B287" s="69"/>
      <c r="C287" s="57" t="s">
        <v>46</v>
      </c>
      <c r="D287" s="35">
        <v>4010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23"/>
      <c r="B288" s="69"/>
      <c r="C288" s="316" t="s">
        <v>117</v>
      </c>
      <c r="D288" s="316"/>
      <c r="E288" s="316"/>
      <c r="F288" s="316"/>
      <c r="G288" s="208"/>
      <c r="H288" s="208"/>
      <c r="I288" s="145"/>
      <c r="J288" s="127"/>
    </row>
    <row r="289" spans="1:10" ht="14.15" customHeight="1" x14ac:dyDescent="0.3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35">
      <c r="A293" s="223"/>
      <c r="B293" s="193"/>
      <c r="C293" s="19" t="s">
        <v>104</v>
      </c>
      <c r="D293" s="21" t="s">
        <v>105</v>
      </c>
      <c r="E293" s="19" t="s">
        <v>162</v>
      </c>
      <c r="F293" s="19" t="s">
        <v>163</v>
      </c>
      <c r="G293" s="23" t="s">
        <v>164</v>
      </c>
      <c r="H293" s="19" t="s">
        <v>165</v>
      </c>
      <c r="I293" s="247"/>
      <c r="J293" s="13"/>
    </row>
    <row r="294" spans="1:10" ht="14.15" customHeight="1" x14ac:dyDescent="0.35">
      <c r="A294" s="223"/>
      <c r="B294" s="69"/>
      <c r="C294" s="287" t="s">
        <v>106</v>
      </c>
      <c r="D294" s="197">
        <v>779</v>
      </c>
      <c r="E294" s="25">
        <f>SUM(E295:E296)</f>
        <v>19.766179999999999</v>
      </c>
      <c r="F294" s="25">
        <f>SUM(F295:F296)</f>
        <v>780.35692999999992</v>
      </c>
      <c r="G294" s="82">
        <f>D294-F294</f>
        <v>-1.3569299999999203</v>
      </c>
      <c r="H294" s="25">
        <f>SUM(H295:H296)</f>
        <v>868.87328000000002</v>
      </c>
      <c r="I294" s="26"/>
      <c r="J294" s="127"/>
    </row>
    <row r="295" spans="1:10" ht="14.15" customHeight="1" x14ac:dyDescent="0.35">
      <c r="A295" s="223"/>
      <c r="B295" s="69"/>
      <c r="C295" s="28" t="s">
        <v>8</v>
      </c>
      <c r="E295" s="198">
        <f>16.532</f>
        <v>16.532</v>
      </c>
      <c r="F295" s="198">
        <f>579.33575</f>
        <v>579.33574999999996</v>
      </c>
      <c r="G295" s="199"/>
      <c r="H295" s="198">
        <f>657.43058</f>
        <v>657.43057999999996</v>
      </c>
      <c r="I295" s="145"/>
      <c r="J295" s="127"/>
    </row>
    <row r="296" spans="1:10" ht="14.15" customHeight="1" x14ac:dyDescent="0.35">
      <c r="A296" s="223"/>
      <c r="B296" s="69"/>
      <c r="C296" s="28" t="s">
        <v>11</v>
      </c>
      <c r="D296" s="200"/>
      <c r="E296" s="202">
        <f>3.23418</f>
        <v>3.2341799999999998</v>
      </c>
      <c r="F296" s="202">
        <f>201.02118</f>
        <v>201.02117999999999</v>
      </c>
      <c r="G296" s="203"/>
      <c r="H296" s="202">
        <f>211.4427</f>
        <v>211.4427</v>
      </c>
      <c r="I296" s="145"/>
      <c r="J296" s="127"/>
    </row>
    <row r="297" spans="1:10" ht="14.15" customHeight="1" x14ac:dyDescent="0.35">
      <c r="A297" s="223"/>
      <c r="B297" s="69"/>
      <c r="C297" s="287" t="s">
        <v>107</v>
      </c>
      <c r="D297" s="9">
        <v>779</v>
      </c>
      <c r="E297" s="25">
        <f>SUM(E298:E299)</f>
        <v>0</v>
      </c>
      <c r="F297" s="25">
        <f>SUM(F298:F299)</f>
        <v>0</v>
      </c>
      <c r="G297" s="82">
        <f>D297-F297</f>
        <v>779</v>
      </c>
      <c r="H297" s="25">
        <f>SUM(H298:H299)</f>
        <v>0</v>
      </c>
      <c r="I297" s="26"/>
      <c r="J297" s="127"/>
    </row>
    <row r="298" spans="1:10" ht="14.15" customHeight="1" x14ac:dyDescent="0.35">
      <c r="A298" s="223"/>
      <c r="B298" s="69"/>
      <c r="C298" s="28" t="s">
        <v>8</v>
      </c>
      <c r="D298" s="41"/>
      <c r="E298" s="29">
        <f>0</f>
        <v>0</v>
      </c>
      <c r="F298" s="29">
        <f>0</f>
        <v>0</v>
      </c>
      <c r="G298" s="94"/>
      <c r="H298" s="29">
        <f>0</f>
        <v>0</v>
      </c>
      <c r="I298" s="145"/>
      <c r="J298" s="127"/>
    </row>
    <row r="299" spans="1:10" ht="14.15" customHeight="1" x14ac:dyDescent="0.35">
      <c r="A299" s="223"/>
      <c r="B299" s="69"/>
      <c r="C299" s="28" t="s">
        <v>11</v>
      </c>
      <c r="D299" s="244"/>
      <c r="E299" s="29">
        <f>0</f>
        <v>0</v>
      </c>
      <c r="F299" s="29">
        <f>0</f>
        <v>0</v>
      </c>
      <c r="G299" s="105"/>
      <c r="H299" s="29">
        <f>0</f>
        <v>0</v>
      </c>
      <c r="I299" s="145"/>
      <c r="J299" s="127"/>
    </row>
    <row r="300" spans="1:10" ht="14.15" customHeight="1" x14ac:dyDescent="0.35">
      <c r="A300" s="223"/>
      <c r="B300" s="69"/>
      <c r="C300" s="287" t="s">
        <v>108</v>
      </c>
      <c r="D300" s="9">
        <v>780</v>
      </c>
      <c r="E300" s="34">
        <f>SUM(E301:E302)</f>
        <v>0</v>
      </c>
      <c r="F300" s="34">
        <f>SUM(F301:F302)</f>
        <v>0</v>
      </c>
      <c r="G300" s="82">
        <f>D300-F300</f>
        <v>780</v>
      </c>
      <c r="H300" s="34">
        <f>SUM(H301:H302)</f>
        <v>0</v>
      </c>
      <c r="I300" s="145"/>
      <c r="J300" s="127"/>
    </row>
    <row r="301" spans="1:10" ht="14.15" customHeight="1" x14ac:dyDescent="0.35">
      <c r="A301" s="223"/>
      <c r="B301" s="69"/>
      <c r="C301" s="28" t="s">
        <v>8</v>
      </c>
      <c r="D301" s="41"/>
      <c r="E301" s="29">
        <f>0</f>
        <v>0</v>
      </c>
      <c r="F301" s="29">
        <f>0</f>
        <v>0</v>
      </c>
      <c r="G301" s="94"/>
      <c r="H301" s="29">
        <f>0</f>
        <v>0</v>
      </c>
      <c r="I301" s="145"/>
      <c r="J301" s="127"/>
    </row>
    <row r="302" spans="1:10" ht="14.15" customHeight="1" x14ac:dyDescent="0.35">
      <c r="A302" s="223"/>
      <c r="B302" s="69"/>
      <c r="C302" s="28" t="s">
        <v>11</v>
      </c>
      <c r="D302" s="244"/>
      <c r="E302" s="29">
        <f>0</f>
        <v>0</v>
      </c>
      <c r="F302" s="29">
        <f>0</f>
        <v>0</v>
      </c>
      <c r="G302" s="105"/>
      <c r="H302" s="29">
        <f>0</f>
        <v>0</v>
      </c>
      <c r="I302" s="145"/>
      <c r="J302" s="127"/>
    </row>
    <row r="303" spans="1:10" ht="14.15" customHeight="1" x14ac:dyDescent="0.35">
      <c r="A303" s="223"/>
      <c r="B303" s="69"/>
      <c r="C303" s="300" t="s">
        <v>91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23"/>
      <c r="B304" s="69"/>
      <c r="C304" s="306" t="s">
        <v>83</v>
      </c>
      <c r="D304" s="38">
        <f>D294+D297+D300</f>
        <v>2338</v>
      </c>
      <c r="E304" s="39">
        <f>E294+E297+E300+E303</f>
        <v>19.766179999999999</v>
      </c>
      <c r="F304" s="39">
        <f>F294+F297+F300+F303</f>
        <v>780.35692999999992</v>
      </c>
      <c r="G304" s="40">
        <f>D304-F304</f>
        <v>1557.6430700000001</v>
      </c>
      <c r="H304" s="39">
        <f>H294+H297+H300+H303</f>
        <v>868.87328000000002</v>
      </c>
      <c r="I304" s="26"/>
      <c r="J304" s="127"/>
    </row>
    <row r="305" spans="1:10" ht="42" customHeight="1" x14ac:dyDescent="0.35">
      <c r="A305" s="223"/>
      <c r="B305" s="230"/>
      <c r="C305" s="318" t="s">
        <v>112</v>
      </c>
      <c r="D305" s="318"/>
      <c r="E305" s="318"/>
      <c r="F305" s="318"/>
      <c r="G305" s="318"/>
      <c r="H305" s="318"/>
      <c r="I305" s="318"/>
      <c r="J305" s="319"/>
    </row>
    <row r="306" spans="1:10" ht="42" customHeight="1" x14ac:dyDescent="0.3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35">
      <c r="A307" s="223"/>
      <c r="C307" s="145" t="s">
        <v>109</v>
      </c>
      <c r="D307" s="152"/>
    </row>
    <row r="308" spans="1:10" ht="15.65" customHeight="1" x14ac:dyDescent="0.3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9" customHeight="1" x14ac:dyDescent="0.35">
      <c r="A309" s="223"/>
      <c r="B309" s="69"/>
      <c r="C309" s="233" t="s">
        <v>142</v>
      </c>
      <c r="D309" s="152"/>
      <c r="E309" s="145"/>
      <c r="G309" s="145"/>
      <c r="H309" s="145"/>
      <c r="I309" s="145"/>
      <c r="J309" s="127"/>
    </row>
    <row r="310" spans="1:10" ht="20.149999999999999" customHeight="1" x14ac:dyDescent="0.3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35">
      <c r="A311" s="223"/>
      <c r="B311" s="69"/>
      <c r="C311" s="210" t="s">
        <v>1</v>
      </c>
      <c r="D311" s="210" t="s">
        <v>143</v>
      </c>
      <c r="E311" s="212" t="s">
        <v>144</v>
      </c>
      <c r="F311" s="145"/>
      <c r="G311" s="145"/>
      <c r="H311" s="145"/>
      <c r="I311" s="145"/>
      <c r="J311" s="127"/>
    </row>
    <row r="312" spans="1:10" ht="19" customHeight="1" x14ac:dyDescent="0.3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6" customHeight="1" x14ac:dyDescent="0.35">
      <c r="A313" s="223"/>
      <c r="B313" s="69"/>
      <c r="C313" s="110" t="s">
        <v>87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5" customHeight="1" x14ac:dyDescent="0.35">
      <c r="A314" s="223"/>
      <c r="B314" s="69"/>
      <c r="C314" s="110" t="s">
        <v>145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35">
      <c r="A315" s="223"/>
      <c r="B315" s="69"/>
      <c r="C315" s="172" t="s">
        <v>46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6" customHeight="1" x14ac:dyDescent="0.35">
      <c r="A316" s="223"/>
      <c r="B316" s="69"/>
      <c r="C316" s="316" t="s">
        <v>154</v>
      </c>
      <c r="D316" s="316"/>
      <c r="E316" s="316"/>
      <c r="F316" s="316"/>
      <c r="G316" s="208"/>
      <c r="H316" s="208"/>
      <c r="I316" s="145"/>
      <c r="J316" s="127"/>
    </row>
    <row r="317" spans="1:10" ht="14.15" customHeight="1" x14ac:dyDescent="0.3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3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5" customHeight="1" x14ac:dyDescent="0.3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3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35">
      <c r="A321" s="223"/>
      <c r="B321" s="193"/>
      <c r="C321" s="19" t="s">
        <v>104</v>
      </c>
      <c r="D321" s="19" t="s">
        <v>1</v>
      </c>
      <c r="E321" s="19" t="s">
        <v>162</v>
      </c>
      <c r="F321" s="19" t="s">
        <v>163</v>
      </c>
      <c r="G321" s="19" t="s">
        <v>164</v>
      </c>
      <c r="H321" s="19" t="s">
        <v>165</v>
      </c>
      <c r="I321" s="247"/>
      <c r="J321" s="13"/>
    </row>
    <row r="322" spans="1:10" ht="18.75" customHeight="1" x14ac:dyDescent="0.35">
      <c r="A322" s="223"/>
      <c r="B322" s="69"/>
      <c r="C322" s="236" t="s">
        <v>151</v>
      </c>
      <c r="D322" s="237">
        <v>248</v>
      </c>
      <c r="E322" s="29">
        <f>2.86391</f>
        <v>2.8639100000000002</v>
      </c>
      <c r="F322" s="29">
        <f>1028.90854</f>
        <v>1028.9085399999999</v>
      </c>
      <c r="G322" s="238">
        <f>D322-F322</f>
        <v>-780.9085399999999</v>
      </c>
      <c r="H322" s="29">
        <f>616.52457</f>
        <v>616.52457000000004</v>
      </c>
      <c r="I322" s="242"/>
      <c r="J322" s="127"/>
    </row>
    <row r="323" spans="1:10" ht="17.5" customHeight="1" x14ac:dyDescent="0.35">
      <c r="A323" s="223"/>
      <c r="B323" s="69"/>
      <c r="C323" s="239" t="s">
        <v>152</v>
      </c>
      <c r="D323" s="240">
        <v>22048</v>
      </c>
      <c r="E323" s="29">
        <f>5.1714</f>
        <v>5.1714000000000002</v>
      </c>
      <c r="F323" s="29">
        <f>1675.48491</f>
        <v>1675.4849099999999</v>
      </c>
      <c r="G323" s="241">
        <f>D323-F323</f>
        <v>20372.515090000001</v>
      </c>
      <c r="H323" s="29">
        <f>2094.78599</f>
        <v>2094.7859899999999</v>
      </c>
      <c r="I323" s="26"/>
      <c r="J323" s="127"/>
    </row>
    <row r="324" spans="1:10" ht="17.149999999999999" customHeight="1" x14ac:dyDescent="0.35">
      <c r="A324" s="223"/>
      <c r="B324" s="69"/>
      <c r="C324" s="306" t="s">
        <v>83</v>
      </c>
      <c r="D324" s="229">
        <f>D322+D323</f>
        <v>22296</v>
      </c>
      <c r="E324" s="39">
        <f>E323+E322</f>
        <v>8.0353100000000008</v>
      </c>
      <c r="F324" s="39">
        <f>F323+F322</f>
        <v>2704.3934499999996</v>
      </c>
      <c r="G324" s="39">
        <f>G323+G322</f>
        <v>19591.60655</v>
      </c>
      <c r="H324" s="39">
        <f>H323+H322</f>
        <v>2711.3105599999999</v>
      </c>
      <c r="I324" s="26"/>
      <c r="J324" s="127"/>
    </row>
    <row r="325" spans="1:10" ht="22.5" customHeight="1" x14ac:dyDescent="0.35">
      <c r="A325" s="223"/>
      <c r="B325" s="69"/>
      <c r="C325" s="314" t="s">
        <v>153</v>
      </c>
      <c r="D325" s="314"/>
      <c r="E325" s="314"/>
      <c r="F325" s="314"/>
      <c r="G325" s="314"/>
      <c r="H325" s="314"/>
      <c r="I325" s="314"/>
      <c r="J325" s="315"/>
    </row>
    <row r="326" spans="1:10" ht="42" customHeight="1" x14ac:dyDescent="0.3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35"/>
    <row r="328" spans="1:10" ht="14.15" customHeight="1" x14ac:dyDescent="0.35">
      <c r="A328" s="223"/>
      <c r="C328" s="145" t="s">
        <v>109</v>
      </c>
      <c r="D328" s="152"/>
    </row>
    <row r="329" spans="1:10" ht="0" hidden="1" customHeight="1" x14ac:dyDescent="0.3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35">
      <c r="A330" s="223"/>
      <c r="B330" s="69"/>
      <c r="C330" s="233" t="s">
        <v>142</v>
      </c>
      <c r="D330" s="152"/>
      <c r="E330" s="145"/>
      <c r="G330" s="145"/>
      <c r="H330" s="145"/>
      <c r="I330" s="145"/>
      <c r="J330" s="127"/>
    </row>
    <row r="331" spans="1:10" ht="0" hidden="1" customHeight="1" x14ac:dyDescent="0.3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35">
      <c r="A332" s="223"/>
      <c r="B332" s="69"/>
      <c r="C332" s="210" t="s">
        <v>1</v>
      </c>
      <c r="D332" s="210" t="s">
        <v>143</v>
      </c>
      <c r="E332" s="212" t="s">
        <v>144</v>
      </c>
      <c r="F332" s="145"/>
      <c r="G332" s="145"/>
      <c r="H332" s="145"/>
      <c r="I332" s="145"/>
      <c r="J332" s="127"/>
    </row>
    <row r="333" spans="1:10" ht="0" hidden="1" customHeight="1" x14ac:dyDescent="0.3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35">
      <c r="A334" s="223"/>
      <c r="B334" s="69"/>
      <c r="C334" s="110" t="s">
        <v>87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35">
      <c r="A335" s="223"/>
      <c r="B335" s="69"/>
      <c r="C335" s="110" t="s">
        <v>145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35">
      <c r="A336" s="223"/>
      <c r="B336" s="69"/>
      <c r="C336" s="172" t="s">
        <v>46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35">
      <c r="A337" s="223"/>
      <c r="B337" s="69"/>
      <c r="C337" s="313" t="s">
        <v>146</v>
      </c>
      <c r="D337" s="313"/>
      <c r="E337" s="313"/>
      <c r="F337" s="313"/>
      <c r="G337" s="208"/>
      <c r="H337" s="208"/>
      <c r="I337" s="145"/>
      <c r="J337" s="127"/>
    </row>
    <row r="338" spans="1:10" ht="0" hidden="1" customHeight="1" x14ac:dyDescent="0.3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3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3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3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35">
      <c r="A342" s="223"/>
      <c r="B342" s="193"/>
      <c r="C342" s="19" t="s">
        <v>104</v>
      </c>
      <c r="D342" s="19" t="s">
        <v>1</v>
      </c>
      <c r="E342" s="246" t="s">
        <v>147</v>
      </c>
      <c r="F342" s="246" t="s">
        <v>148</v>
      </c>
      <c r="G342" s="246" t="s">
        <v>149</v>
      </c>
      <c r="H342" s="224" t="s">
        <v>150</v>
      </c>
      <c r="I342" s="247"/>
      <c r="J342" s="13"/>
    </row>
    <row r="343" spans="1:10" ht="0" hidden="1" customHeight="1" x14ac:dyDescent="0.35">
      <c r="A343" s="223"/>
      <c r="B343" s="69"/>
      <c r="C343" s="225" t="s">
        <v>151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35">
      <c r="A344" s="223"/>
      <c r="B344" s="69"/>
      <c r="C344" s="287" t="s">
        <v>152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35">
      <c r="A345" s="223"/>
      <c r="B345" s="69"/>
      <c r="C345" s="306" t="s">
        <v>83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35">
      <c r="A346" s="223"/>
      <c r="B346" s="69"/>
      <c r="C346" s="314" t="s">
        <v>153</v>
      </c>
      <c r="D346" s="314"/>
      <c r="E346" s="314"/>
      <c r="F346" s="314"/>
      <c r="G346" s="314"/>
      <c r="H346" s="314"/>
      <c r="I346" s="314"/>
      <c r="J346" s="315"/>
    </row>
    <row r="347" spans="1:10" ht="0" hidden="1" customHeight="1" x14ac:dyDescent="0.3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35"/>
    <row r="349" spans="1:10" ht="0" hidden="1" customHeight="1" x14ac:dyDescent="0.35"/>
    <row r="350" spans="1:10" ht="0" hidden="1" customHeight="1" x14ac:dyDescent="0.3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13" ht="16.5" customHeight="1" x14ac:dyDescent="0.35"/>
  </sheetData>
  <mergeCells count="19">
    <mergeCell ref="B2:J2"/>
    <mergeCell ref="B9:J9"/>
    <mergeCell ref="C11:D11"/>
    <mergeCell ref="E11:F11"/>
    <mergeCell ref="G11:H11"/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41&amp;R13.10.2025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2025-10-15T12:57:59Z</dcterms:modified>
</cp:coreProperties>
</file>