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"/>
    </mc:Choice>
  </mc:AlternateContent>
  <xr:revisionPtr revIDLastSave="0" documentId="13_ncr:1_{A03877A3-B3B2-43A2-A216-D1C579BC47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H119" i="1" s="1"/>
  <c r="G125" i="1"/>
  <c r="H125" i="1" s="1"/>
  <c r="G124" i="1"/>
  <c r="G123" i="1"/>
  <c r="H123" i="1" s="1"/>
  <c r="H190" i="1"/>
  <c r="H189" i="1"/>
  <c r="G189" i="1"/>
  <c r="H345" i="1"/>
  <c r="F345" i="1"/>
  <c r="E345" i="1"/>
  <c r="D345" i="1"/>
  <c r="G344" i="1"/>
  <c r="G345" i="1" s="1"/>
  <c r="G343" i="1"/>
  <c r="E336" i="1"/>
  <c r="D324" i="1"/>
  <c r="H323" i="1"/>
  <c r="H324" i="1" s="1"/>
  <c r="G323" i="1"/>
  <c r="F323" i="1"/>
  <c r="F324" i="1" s="1"/>
  <c r="E323" i="1"/>
  <c r="E324" i="1" s="1"/>
  <c r="H322" i="1"/>
  <c r="F322" i="1"/>
  <c r="G322" i="1" s="1"/>
  <c r="G324" i="1" s="1"/>
  <c r="E322" i="1"/>
  <c r="E315" i="1"/>
  <c r="D304" i="1"/>
  <c r="H303" i="1"/>
  <c r="G303" i="1"/>
  <c r="F303" i="1"/>
  <c r="E303" i="1"/>
  <c r="H302" i="1"/>
  <c r="F302" i="1"/>
  <c r="E302" i="1"/>
  <c r="H301" i="1"/>
  <c r="H300" i="1" s="1"/>
  <c r="F301" i="1"/>
  <c r="F300" i="1" s="1"/>
  <c r="G300" i="1" s="1"/>
  <c r="E301" i="1"/>
  <c r="E300" i="1"/>
  <c r="H299" i="1"/>
  <c r="F299" i="1"/>
  <c r="F297" i="1" s="1"/>
  <c r="G297" i="1" s="1"/>
  <c r="E299" i="1"/>
  <c r="H298" i="1"/>
  <c r="F298" i="1"/>
  <c r="E298" i="1"/>
  <c r="E297" i="1" s="1"/>
  <c r="H297" i="1"/>
  <c r="H296" i="1"/>
  <c r="F296" i="1"/>
  <c r="E296" i="1"/>
  <c r="H295" i="1"/>
  <c r="H294" i="1" s="1"/>
  <c r="F295" i="1"/>
  <c r="E295" i="1"/>
  <c r="E294" i="1" s="1"/>
  <c r="E304" i="1" s="1"/>
  <c r="F294" i="1"/>
  <c r="F304" i="1" s="1"/>
  <c r="I272" i="1"/>
  <c r="H272" i="1"/>
  <c r="G272" i="1"/>
  <c r="F272" i="1"/>
  <c r="I271" i="1"/>
  <c r="H271" i="1"/>
  <c r="G271" i="1"/>
  <c r="F271" i="1"/>
  <c r="I270" i="1"/>
  <c r="I268" i="1" s="1"/>
  <c r="G270" i="1"/>
  <c r="F270" i="1"/>
  <c r="I269" i="1"/>
  <c r="G269" i="1"/>
  <c r="F269" i="1"/>
  <c r="F268" i="1" s="1"/>
  <c r="G268" i="1"/>
  <c r="H268" i="1" s="1"/>
  <c r="I267" i="1"/>
  <c r="G267" i="1"/>
  <c r="H267" i="1" s="1"/>
  <c r="F267" i="1"/>
  <c r="I266" i="1"/>
  <c r="G266" i="1"/>
  <c r="H266" i="1" s="1"/>
  <c r="F266" i="1"/>
  <c r="I265" i="1"/>
  <c r="G265" i="1"/>
  <c r="H265" i="1" s="1"/>
  <c r="F265" i="1"/>
  <c r="F262" i="1" s="1"/>
  <c r="I264" i="1"/>
  <c r="G264" i="1"/>
  <c r="H264" i="1" s="1"/>
  <c r="F264" i="1"/>
  <c r="I263" i="1"/>
  <c r="G263" i="1"/>
  <c r="H263" i="1" s="1"/>
  <c r="F263" i="1"/>
  <c r="I262" i="1"/>
  <c r="I273" i="1" s="1"/>
  <c r="G262" i="1"/>
  <c r="G273" i="1" s="1"/>
  <c r="E262" i="1"/>
  <c r="E273" i="1" s="1"/>
  <c r="D262" i="1"/>
  <c r="D273" i="1" s="1"/>
  <c r="H254" i="1"/>
  <c r="F254" i="1"/>
  <c r="D251" i="1"/>
  <c r="D250" i="1"/>
  <c r="H241" i="1"/>
  <c r="D241" i="1"/>
  <c r="H240" i="1"/>
  <c r="F240" i="1"/>
  <c r="G240" i="1" s="1"/>
  <c r="E240" i="1"/>
  <c r="H239" i="1"/>
  <c r="F239" i="1"/>
  <c r="G239" i="1" s="1"/>
  <c r="E239" i="1"/>
  <c r="H238" i="1"/>
  <c r="F238" i="1"/>
  <c r="G238" i="1" s="1"/>
  <c r="E238" i="1"/>
  <c r="H237" i="1"/>
  <c r="F237" i="1"/>
  <c r="F241" i="1" s="1"/>
  <c r="G241" i="1" s="1"/>
  <c r="E237" i="1"/>
  <c r="E241" i="1" s="1"/>
  <c r="D230" i="1"/>
  <c r="D219" i="1"/>
  <c r="H218" i="1"/>
  <c r="F218" i="1"/>
  <c r="G218" i="1" s="1"/>
  <c r="E218" i="1"/>
  <c r="H217" i="1"/>
  <c r="F217" i="1"/>
  <c r="E217" i="1"/>
  <c r="H216" i="1"/>
  <c r="F216" i="1"/>
  <c r="F215" i="1" s="1"/>
  <c r="E216" i="1"/>
  <c r="H215" i="1"/>
  <c r="H219" i="1" s="1"/>
  <c r="E215" i="1"/>
  <c r="E219" i="1" s="1"/>
  <c r="D206" i="1"/>
  <c r="H205" i="1"/>
  <c r="F205" i="1"/>
  <c r="G205" i="1" s="1"/>
  <c r="E205" i="1"/>
  <c r="H204" i="1"/>
  <c r="F204" i="1"/>
  <c r="E204" i="1"/>
  <c r="H203" i="1"/>
  <c r="F203" i="1"/>
  <c r="F202" i="1" s="1"/>
  <c r="E203" i="1"/>
  <c r="H202" i="1"/>
  <c r="H206" i="1" s="1"/>
  <c r="E202" i="1"/>
  <c r="E206" i="1" s="1"/>
  <c r="I192" i="1"/>
  <c r="E192" i="1"/>
  <c r="H192" i="1" s="1"/>
  <c r="D192" i="1"/>
  <c r="I191" i="1"/>
  <c r="H191" i="1"/>
  <c r="G191" i="1"/>
  <c r="F191" i="1"/>
  <c r="I190" i="1"/>
  <c r="G190" i="1"/>
  <c r="F190" i="1"/>
  <c r="I189" i="1"/>
  <c r="G192" i="1"/>
  <c r="F189" i="1"/>
  <c r="F192" i="1" s="1"/>
  <c r="D169" i="1"/>
  <c r="H168" i="1"/>
  <c r="F168" i="1"/>
  <c r="G168" i="1" s="1"/>
  <c r="E168" i="1"/>
  <c r="H167" i="1"/>
  <c r="G167" i="1"/>
  <c r="F167" i="1"/>
  <c r="E167" i="1"/>
  <c r="H166" i="1"/>
  <c r="F166" i="1"/>
  <c r="F163" i="1" s="1"/>
  <c r="E166" i="1"/>
  <c r="H165" i="1"/>
  <c r="F165" i="1"/>
  <c r="E165" i="1"/>
  <c r="H164" i="1"/>
  <c r="H163" i="1" s="1"/>
  <c r="F164" i="1"/>
  <c r="E164" i="1"/>
  <c r="E163" i="1" s="1"/>
  <c r="E169" i="1" s="1"/>
  <c r="H162" i="1"/>
  <c r="G162" i="1"/>
  <c r="F162" i="1"/>
  <c r="E162" i="1"/>
  <c r="H161" i="1"/>
  <c r="H169" i="1" s="1"/>
  <c r="F161" i="1"/>
  <c r="E161" i="1"/>
  <c r="H160" i="1"/>
  <c r="G160" i="1"/>
  <c r="F160" i="1"/>
  <c r="E160" i="1"/>
  <c r="I135" i="1"/>
  <c r="G135" i="1"/>
  <c r="H135" i="1" s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H130" i="1"/>
  <c r="G130" i="1"/>
  <c r="F130" i="1"/>
  <c r="I129" i="1"/>
  <c r="G129" i="1"/>
  <c r="H129" i="1" s="1"/>
  <c r="F129" i="1"/>
  <c r="I128" i="1"/>
  <c r="H128" i="1"/>
  <c r="G128" i="1"/>
  <c r="F128" i="1"/>
  <c r="I127" i="1"/>
  <c r="I126" i="1" s="1"/>
  <c r="G127" i="1"/>
  <c r="H127" i="1" s="1"/>
  <c r="H126" i="1" s="1"/>
  <c r="F127" i="1"/>
  <c r="F126" i="1"/>
  <c r="E126" i="1"/>
  <c r="D126" i="1"/>
  <c r="I125" i="1"/>
  <c r="F125" i="1"/>
  <c r="I124" i="1"/>
  <c r="H124" i="1"/>
  <c r="F124" i="1"/>
  <c r="I123" i="1"/>
  <c r="I121" i="1" s="1"/>
  <c r="F123" i="1"/>
  <c r="I122" i="1"/>
  <c r="H122" i="1"/>
  <c r="G122" i="1"/>
  <c r="F122" i="1"/>
  <c r="F121" i="1"/>
  <c r="E121" i="1"/>
  <c r="E120" i="1" s="1"/>
  <c r="D121" i="1"/>
  <c r="D120" i="1" s="1"/>
  <c r="D137" i="1" s="1"/>
  <c r="F120" i="1"/>
  <c r="I119" i="1"/>
  <c r="F119" i="1"/>
  <c r="I118" i="1"/>
  <c r="H118" i="1"/>
  <c r="G118" i="1"/>
  <c r="F118" i="1"/>
  <c r="I117" i="1"/>
  <c r="H117" i="1"/>
  <c r="G117" i="1"/>
  <c r="F117" i="1"/>
  <c r="I116" i="1"/>
  <c r="I115" i="1" s="1"/>
  <c r="H116" i="1"/>
  <c r="H115" i="1" s="1"/>
  <c r="G116" i="1"/>
  <c r="F116" i="1"/>
  <c r="F115" i="1" s="1"/>
  <c r="F137" i="1" s="1"/>
  <c r="G115" i="1"/>
  <c r="E115" i="1"/>
  <c r="E137" i="1" s="1"/>
  <c r="D115" i="1"/>
  <c r="C113" i="1"/>
  <c r="D94" i="1"/>
  <c r="I93" i="1"/>
  <c r="G93" i="1"/>
  <c r="H93" i="1" s="1"/>
  <c r="F93" i="1"/>
  <c r="I92" i="1"/>
  <c r="H92" i="1"/>
  <c r="G92" i="1"/>
  <c r="F92" i="1"/>
  <c r="I91" i="1"/>
  <c r="G91" i="1"/>
  <c r="H91" i="1" s="1"/>
  <c r="F91" i="1"/>
  <c r="I90" i="1"/>
  <c r="H90" i="1"/>
  <c r="G90" i="1"/>
  <c r="F90" i="1"/>
  <c r="I89" i="1"/>
  <c r="G89" i="1"/>
  <c r="H89" i="1" s="1"/>
  <c r="F89" i="1"/>
  <c r="I88" i="1"/>
  <c r="H88" i="1"/>
  <c r="G88" i="1"/>
  <c r="F88" i="1"/>
  <c r="I87" i="1"/>
  <c r="G87" i="1"/>
  <c r="H87" i="1" s="1"/>
  <c r="F87" i="1"/>
  <c r="I86" i="1"/>
  <c r="H86" i="1"/>
  <c r="G86" i="1"/>
  <c r="F86" i="1"/>
  <c r="I85" i="1"/>
  <c r="G85" i="1"/>
  <c r="H85" i="1" s="1"/>
  <c r="F85" i="1"/>
  <c r="I84" i="1"/>
  <c r="H84" i="1"/>
  <c r="G84" i="1"/>
  <c r="F84" i="1"/>
  <c r="F83" i="1" s="1"/>
  <c r="F82" i="1" s="1"/>
  <c r="I83" i="1"/>
  <c r="I82" i="1" s="1"/>
  <c r="G83" i="1"/>
  <c r="E83" i="1"/>
  <c r="E82" i="1" s="1"/>
  <c r="D83" i="1"/>
  <c r="G82" i="1"/>
  <c r="D82" i="1"/>
  <c r="I81" i="1"/>
  <c r="H81" i="1"/>
  <c r="G81" i="1"/>
  <c r="F81" i="1"/>
  <c r="I80" i="1"/>
  <c r="I79" i="1" s="1"/>
  <c r="I94" i="1" s="1"/>
  <c r="G80" i="1"/>
  <c r="G79" i="1" s="1"/>
  <c r="G94" i="1" s="1"/>
  <c r="F80" i="1"/>
  <c r="F79" i="1"/>
  <c r="F94" i="1" s="1"/>
  <c r="E79" i="1"/>
  <c r="E94" i="1" s="1"/>
  <c r="D79" i="1"/>
  <c r="C76" i="1"/>
  <c r="H72" i="1"/>
  <c r="F72" i="1"/>
  <c r="D72" i="1"/>
  <c r="H58" i="1"/>
  <c r="H57" i="1"/>
  <c r="I52" i="1"/>
  <c r="I31" i="1" s="1"/>
  <c r="G52" i="1"/>
  <c r="G31" i="1" s="1"/>
  <c r="F52" i="1"/>
  <c r="F31" i="1" s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H36" i="1"/>
  <c r="G36" i="1"/>
  <c r="F36" i="1"/>
  <c r="I35" i="1"/>
  <c r="G35" i="1"/>
  <c r="H35" i="1" s="1"/>
  <c r="F35" i="1"/>
  <c r="I34" i="1"/>
  <c r="G34" i="1"/>
  <c r="H34" i="1" s="1"/>
  <c r="F34" i="1"/>
  <c r="I33" i="1"/>
  <c r="E33" i="1"/>
  <c r="D33" i="1"/>
  <c r="D25" i="1" s="1"/>
  <c r="I32" i="1"/>
  <c r="G32" i="1"/>
  <c r="H32" i="1" s="1"/>
  <c r="F32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7" i="1"/>
  <c r="G27" i="1"/>
  <c r="H27" i="1" s="1"/>
  <c r="F27" i="1"/>
  <c r="E26" i="1"/>
  <c r="E25" i="1" s="1"/>
  <c r="D26" i="1"/>
  <c r="I24" i="1"/>
  <c r="I22" i="1" s="1"/>
  <c r="H24" i="1"/>
  <c r="G24" i="1"/>
  <c r="F24" i="1"/>
  <c r="F22" i="1" s="1"/>
  <c r="I23" i="1"/>
  <c r="G23" i="1"/>
  <c r="G22" i="1" s="1"/>
  <c r="F23" i="1"/>
  <c r="E22" i="1"/>
  <c r="E42" i="1" s="1"/>
  <c r="D22" i="1"/>
  <c r="D42" i="1" s="1"/>
  <c r="H16" i="1"/>
  <c r="F16" i="1"/>
  <c r="D16" i="1"/>
  <c r="F33" i="1" l="1"/>
  <c r="I26" i="1"/>
  <c r="F26" i="1"/>
  <c r="F25" i="1" s="1"/>
  <c r="F42" i="1" s="1"/>
  <c r="G33" i="1"/>
  <c r="H33" i="1" s="1"/>
  <c r="G121" i="1"/>
  <c r="G120" i="1" s="1"/>
  <c r="G137" i="1" s="1"/>
  <c r="H121" i="1"/>
  <c r="H120" i="1" s="1"/>
  <c r="H137" i="1" s="1"/>
  <c r="I42" i="1"/>
  <c r="G163" i="1"/>
  <c r="F169" i="1"/>
  <c r="H304" i="1"/>
  <c r="G169" i="1"/>
  <c r="H262" i="1"/>
  <c r="H273" i="1" s="1"/>
  <c r="G215" i="1"/>
  <c r="F219" i="1"/>
  <c r="G219" i="1" s="1"/>
  <c r="H31" i="1"/>
  <c r="H26" i="1" s="1"/>
  <c r="G26" i="1"/>
  <c r="G202" i="1"/>
  <c r="F206" i="1"/>
  <c r="G206" i="1" s="1"/>
  <c r="G25" i="1"/>
  <c r="G42" i="1" s="1"/>
  <c r="I25" i="1"/>
  <c r="H83" i="1"/>
  <c r="H82" i="1" s="1"/>
  <c r="F273" i="1"/>
  <c r="I120" i="1"/>
  <c r="I137" i="1" s="1"/>
  <c r="G304" i="1"/>
  <c r="G126" i="1"/>
  <c r="H23" i="1"/>
  <c r="H22" i="1" s="1"/>
  <c r="H52" i="1"/>
  <c r="H80" i="1"/>
  <c r="H79" i="1" s="1"/>
  <c r="H94" i="1" s="1"/>
  <c r="G237" i="1"/>
  <c r="G294" i="1"/>
  <c r="H25" i="1" l="1"/>
  <c r="H42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<sst xmlns="http://schemas.openxmlformats.org/spreadsheetml/2006/main" count="393" uniqueCount="167">
  <si>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</si>
  <si>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</si>
  <si>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</si>
  <si>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</si>
  <si>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</si>
  <si>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</si>
  <si>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</si>
  <si>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</si>
  <si>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</si>
  <si>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</si>
  <si>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</si>
  <si>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</si>
  <si>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</si>
  <si>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</si>
  <si>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</si>
  <si>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</si>
  <si>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</si>
  <si>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</si>
  <si>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</si>
  <si>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</si>
  <si>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</si>
  <si>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</si>
  <si>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</si>
  <si>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</si>
  <si>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</si>
  <si>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</si>
  <si>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</si>
  <si>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</si>
  <si>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</si>
  <si>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</si>
  <si>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</si>
  <si>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</si>
  <si>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</si>
  <si>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</si>
  <si>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</si>
  <si>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</si>
  <si>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</si>
  <si>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</si>
  <si>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</si>
  <si>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</si>
  <si>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</si>
  <si>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</si>
  <si>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</si>
  <si>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</si>
  <si>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</si>
  <si>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</si>
  <si>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</si>
  <si>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</si>
  <si>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</si>
  <si>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</si>
  <si>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</si>
  <si>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</si>
  <si>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</si>
  <si>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</si>
  <si>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</si>
  <si>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</si>
  <si>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</si>
  <si>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</si>
  <si>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</si>
  <si>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</si>
  <si>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</si>
  <si>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</si>
  <si>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</si>
  <si>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</si>
  <si>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</si>
  <si>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</si>
  <si>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</si>
  <si>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</si>
  <si>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</si>
  <si>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</si>
  <si>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</si>
  <si>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</si>
  <si>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</si>
  <si>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</si>
  <si>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</si>
  <si>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</si>
  <si>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</si>
  <si>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</si>
  <si>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</si>
  <si>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</si>
  <si>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</si>
  <si>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</si>
  <si>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</si>
  <si>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</si>
  <si>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</si>
  <si>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</si>
  <si>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</si>
  <si>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</si>
  <si>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</si>
  <si>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</si>
  <si>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</si>
  <si>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</si>
  <si>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</si>
  <si>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</si>
  <si>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</si>
  <si>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</si>
  <si>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</si>
  <si>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</si>
  <si>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</si>
  <si>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</si>
  <si>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</si>
  <si>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</si>
  <si>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</si>
  <si>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</si>
  <si>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</si>
  <si>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</si>
  <si>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</si>
  <si>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</si>
  <si>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</si>
  <si>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</si>
  <si>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</si>
  <si>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</si>
  <si>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</si>
  <si>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</si>
  <si>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</si>
  <si>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</si>
  <si>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</si>
  <si>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</si>
  <si>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</si>
  <si>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</si>
  <si>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</si>
  <si>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</si>
  <si>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</si>
  <si>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</si>
  <si>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</si>
  <si>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</si>
  <si>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</si>
  <si>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</si>
  <si>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</si>
  <si>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</si>
  <si>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</si>
  <si>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</si>
  <si>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</si>
  <si>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</si>
  <si>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</si>
  <si>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</si>
  <si>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</si>
  <si>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</si>
  <si>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</si>
  <si>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</si>
  <si>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</si>
  <si>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</si>
  <si>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</si>
  <si>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</si>
  <si>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</si>
  <si>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</si>
  <si>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</si>
  <si>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</si>
  <si>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</si>
  <si>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</si>
  <si>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</si>
  <si>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</si>
  <si>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</si>
  <si>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</si>
  <si>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</si>
  <si>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</si>
  <si>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</si>
  <si>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</si>
  <si>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</si>
  <si>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51 tonn, men det legges til grunn at hele avsetningen tas</t>
  </si>
  <si>
    <t>4 Registrert rekreasjonsfiske utgjør 380 tonn, men det legges til grunn at hele avsetningen tas</t>
  </si>
  <si>
    <t>3 Registrert rekreasjonsfiske utgjør 740 tonn, men det legges til grunn at hele avsetningen tas</t>
  </si>
  <si>
    <t>FANGST UKE 38</t>
  </si>
  <si>
    <t>FANGST T.O.M UKE 38</t>
  </si>
  <si>
    <t>RESTKVOTER UKE 38</t>
  </si>
  <si>
    <t>FANGST T.O.M UKE 38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</si>
  <si>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2 844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</si>
</sst>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101" zoomScale="138" zoomScaleNormal="55" zoomScaleSheetLayoutView="100" zoomScalePageLayoutView="85" workbookViewId="0">
      <selection activeCell="G119" sqref="G119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120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140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511.80149999999998</v>
      </c>
      <c r="G22" s="27">
        <f t="shared" si="0"/>
        <v>24811.598080000003</v>
      </c>
      <c r="H22" s="10">
        <f t="shared" si="0"/>
        <v>16774.401919999997</v>
      </c>
      <c r="I22" s="10">
        <f t="shared" si="0"/>
        <v>40553.337440000003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511.8015</f>
        <v>511.80149999999998</v>
      </c>
      <c r="G23" s="22">
        <f>24414.22243</f>
        <v>24414.222430000002</v>
      </c>
      <c r="H23" s="22">
        <f>E23-G23</f>
        <v>16408.777569999998</v>
      </c>
      <c r="I23" s="22">
        <f>40027.01486</f>
        <v>40027.014860000003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397.37565</f>
        <v>397.37565000000001</v>
      </c>
      <c r="H24" s="22">
        <f>E24-G24</f>
        <v>365.62434999999999</v>
      </c>
      <c r="I24" s="22">
        <f>526.32258</f>
        <v>526.32258000000002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264.98718000000002</v>
      </c>
      <c r="G25" s="10">
        <f t="shared" si="1"/>
        <v>105648.24681</v>
      </c>
      <c r="H25" s="10">
        <f t="shared" si="1"/>
        <v>16019.753189999999</v>
      </c>
      <c r="I25" s="10">
        <f t="shared" si="1"/>
        <v>124937.94060999999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204.01146</v>
      </c>
      <c r="G26" s="129">
        <f>G27+G28+G29+G30+G31</f>
        <v>84770.051779999994</v>
      </c>
      <c r="H26" s="129">
        <f t="shared" ref="H26:I26" si="2">H27+H28+H29+H30+H31</f>
        <v>10122.94822</v>
      </c>
      <c r="I26" s="129">
        <f t="shared" si="2"/>
        <v>101803.0524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64.21867 - F53</f>
        <v>20.218670000000003</v>
      </c>
      <c r="G27" s="123">
        <f>23170.36502 - G53</f>
        <v>22704.365020000001</v>
      </c>
      <c r="H27" s="123">
        <f t="shared" ref="H27:H39" si="3">E27-G27</f>
        <v>2448.6349799999989</v>
      </c>
      <c r="I27" s="123">
        <f>26479.59102 - I53</f>
        <v>25826.59102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105.35574 - F54</f>
        <v>45.355739999999997</v>
      </c>
      <c r="G28" s="123">
        <f>23360.3989 - G54</f>
        <v>22559.3989</v>
      </c>
      <c r="H28" s="123">
        <f t="shared" si="3"/>
        <v>1434.6010999999999</v>
      </c>
      <c r="I28" s="123">
        <f>28598.23089 - I54</f>
        <v>27627.230889999999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33.07533 - F55</f>
        <v>-12.924669999999999</v>
      </c>
      <c r="G29" s="123">
        <f>22181.56124 - G55</f>
        <v>21168.561239999999</v>
      </c>
      <c r="H29" s="123">
        <f t="shared" si="3"/>
        <v>701.43876000000091</v>
      </c>
      <c r="I29" s="123">
        <f>26799.46498 - I55</f>
        <v>25658.464980000001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1.36172 - F56</f>
        <v>-1.63828</v>
      </c>
      <c r="G30" s="123">
        <f>16057.72662 - G56</f>
        <v>15422.726619999999</v>
      </c>
      <c r="H30" s="123">
        <f t="shared" si="3"/>
        <v>222.27338000000054</v>
      </c>
      <c r="I30" s="123">
        <f>19925.76551 - I56</f>
        <v>18957.765510000001</v>
      </c>
      <c r="J30" s="63"/>
    </row>
    <row r="31" spans="1:10" ht="14.15" customHeight="1" x14ac:dyDescent="0.35">
      <c r="A31" s="192"/>
      <c r="B31" s="176"/>
      <c r="C31" s="60" t="s">
        <v>157</v>
      </c>
      <c r="D31" s="61">
        <v>7872</v>
      </c>
      <c r="E31" s="61">
        <v>8231</v>
      </c>
      <c r="F31" s="123">
        <f>F52</f>
        <v>153</v>
      </c>
      <c r="G31" s="123">
        <f>G52</f>
        <v>2915</v>
      </c>
      <c r="H31" s="123">
        <f>E31-G31</f>
        <v>5316</v>
      </c>
      <c r="I31" s="123">
        <f>I52</f>
        <v>3733</v>
      </c>
      <c r="J31" s="63"/>
    </row>
    <row r="32" spans="1:10" ht="14.15" customHeight="1" x14ac:dyDescent="0.35">
      <c r="A32" s="64"/>
      <c r="B32" s="51"/>
      <c r="C32" s="54" t="s">
        <v>28</v>
      </c>
      <c r="D32" s="55">
        <v>12692</v>
      </c>
      <c r="E32" s="55">
        <v>13679</v>
      </c>
      <c r="F32" s="129">
        <f>0.3825</f>
        <v>0.38250000000000001</v>
      </c>
      <c r="G32" s="129">
        <f>9417.04074</f>
        <v>9417.0407400000004</v>
      </c>
      <c r="H32" s="129">
        <f t="shared" si="3"/>
        <v>4261.9592599999996</v>
      </c>
      <c r="I32" s="129">
        <f>11042.13827</f>
        <v>11042.138269999999</v>
      </c>
      <c r="J32" s="63"/>
    </row>
    <row r="33" spans="1:10" ht="14.15" customHeight="1" x14ac:dyDescent="0.3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60.593220000000002</v>
      </c>
      <c r="G33" s="129">
        <f>G34+G35</f>
        <v>11461.15429</v>
      </c>
      <c r="H33" s="129">
        <f t="shared" si="3"/>
        <v>1634.8457099999996</v>
      </c>
      <c r="I33" s="129">
        <f>I34+I35</f>
        <v>12092.74994</v>
      </c>
      <c r="J33" s="63"/>
    </row>
    <row r="34" spans="1:10" ht="14.15" customHeight="1" x14ac:dyDescent="0.35">
      <c r="A34" s="192"/>
      <c r="B34" s="176"/>
      <c r="C34" s="60" t="s">
        <v>30</v>
      </c>
      <c r="D34" s="61">
        <v>9874</v>
      </c>
      <c r="E34" s="61">
        <v>12136</v>
      </c>
      <c r="F34" s="123">
        <f>71.59322 - F57 - F58</f>
        <v>60.593220000000002</v>
      </c>
      <c r="G34" s="129">
        <f>13553.15429 - G57 - G58</f>
        <v>11080.15429</v>
      </c>
      <c r="H34" s="123">
        <f t="shared" si="3"/>
        <v>1055.8457099999996</v>
      </c>
      <c r="I34" s="123">
        <f>14910.74994 - I57 - I58</f>
        <v>11657.74994</v>
      </c>
      <c r="J34" s="63"/>
    </row>
    <row r="35" spans="1:10" ht="14.15" customHeight="1" x14ac:dyDescent="0.3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0</v>
      </c>
      <c r="G35" s="67">
        <f>G57</f>
        <v>381</v>
      </c>
      <c r="H35" s="67">
        <f t="shared" si="3"/>
        <v>579</v>
      </c>
      <c r="I35" s="67">
        <f>I57</f>
        <v>435</v>
      </c>
      <c r="J35" s="63"/>
    </row>
    <row r="36" spans="1:10" ht="15.75" customHeight="1" x14ac:dyDescent="0.3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33</v>
      </c>
      <c r="D37" s="140">
        <v>855</v>
      </c>
      <c r="E37" s="140">
        <v>855</v>
      </c>
      <c r="F37" s="95">
        <f>0.063</f>
        <v>6.3E-2</v>
      </c>
      <c r="G37" s="95">
        <f>575.29299</f>
        <v>575.29299000000003</v>
      </c>
      <c r="H37" s="95">
        <f t="shared" si="3"/>
        <v>279.70700999999997</v>
      </c>
      <c r="I37" s="95">
        <f>481.67923</f>
        <v>481.67923000000002</v>
      </c>
      <c r="J37" s="267"/>
    </row>
    <row r="38" spans="1:10" ht="17.25" customHeight="1" x14ac:dyDescent="0.3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11</v>
      </c>
      <c r="G38" s="95">
        <f>G58</f>
        <v>2092</v>
      </c>
      <c r="H38" s="95">
        <f t="shared" si="3"/>
        <v>908</v>
      </c>
      <c r="I38" s="95">
        <f>I58</f>
        <v>2818</v>
      </c>
      <c r="J38" s="267"/>
    </row>
    <row r="39" spans="1:10" ht="17.25" customHeight="1" x14ac:dyDescent="0.35">
      <c r="A39" s="1"/>
      <c r="B39" s="277"/>
      <c r="C39" s="70" t="s">
        <v>35</v>
      </c>
      <c r="D39" s="140">
        <v>7000</v>
      </c>
      <c r="E39" s="140">
        <v>7000</v>
      </c>
      <c r="F39" s="95">
        <f>2.28264</f>
        <v>2.2826399999999998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37</v>
      </c>
      <c r="D40" s="140">
        <v>450</v>
      </c>
      <c r="E40" s="140">
        <v>450</v>
      </c>
      <c r="F40" s="95">
        <f>0.027</f>
        <v>2.7E-2</v>
      </c>
      <c r="G40" s="95">
        <f>384.03504</f>
        <v>384.03503999999998</v>
      </c>
      <c r="H40" s="95">
        <f>E40-G40</f>
        <v>65.964960000000019</v>
      </c>
      <c r="I40" s="95">
        <f>339.08152</f>
        <v>339.08152000000001</v>
      </c>
      <c r="J40" s="267"/>
    </row>
    <row r="41" spans="1:10" ht="14.15" customHeight="1" x14ac:dyDescent="0.3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101.50363</f>
        <v>101.50363</v>
      </c>
      <c r="H41" s="136">
        <f t="shared" ref="H41" si="4">E41-G41</f>
        <v>-101.50363</v>
      </c>
      <c r="I41" s="136">
        <f>85.52126</f>
        <v>85.521259999999998</v>
      </c>
      <c r="J41" s="267"/>
    </row>
    <row r="42" spans="1:10" ht="16.5" customHeight="1" x14ac:dyDescent="0.3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790.16132000000005</v>
      </c>
      <c r="G42" s="73">
        <f t="shared" si="5"/>
        <v>140892.93294999999</v>
      </c>
      <c r="H42" s="73">
        <f t="shared" si="5"/>
        <v>34666.067049999991</v>
      </c>
      <c r="I42" s="73">
        <f t="shared" si="5"/>
        <v>176563.92126000003</v>
      </c>
      <c r="J42" s="267"/>
    </row>
    <row r="43" spans="1:10" ht="14.15" customHeight="1" x14ac:dyDescent="0.3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156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158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5" customHeight="1" x14ac:dyDescent="0.35">
      <c r="A52" s="101"/>
      <c r="B52" s="24"/>
      <c r="C52" s="15" t="s">
        <v>42</v>
      </c>
      <c r="D52" s="329">
        <v>7872</v>
      </c>
      <c r="E52" s="329">
        <v>8231</v>
      </c>
      <c r="F52" s="10">
        <f>F56+F55+F54+F53</f>
        <v>153</v>
      </c>
      <c r="G52" s="10">
        <f>G56+G55+G54+G53</f>
        <v>2915</v>
      </c>
      <c r="H52" s="329">
        <f>E52-G52</f>
        <v>5316</v>
      </c>
      <c r="I52" s="10">
        <f>I56+I55+I54+I53</f>
        <v>3733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>
        <v>44</v>
      </c>
      <c r="G53" s="123">
        <v>466</v>
      </c>
      <c r="H53" s="330"/>
      <c r="I53" s="123">
        <v>653</v>
      </c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>
        <v>60</v>
      </c>
      <c r="G54" s="123">
        <v>801</v>
      </c>
      <c r="H54" s="330"/>
      <c r="I54" s="123">
        <v>971</v>
      </c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>
        <v>46</v>
      </c>
      <c r="G55" s="123">
        <v>1013</v>
      </c>
      <c r="H55" s="330"/>
      <c r="I55" s="123">
        <v>1141</v>
      </c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>
        <v>3</v>
      </c>
      <c r="G56" s="186">
        <v>635</v>
      </c>
      <c r="H56" s="331"/>
      <c r="I56" s="186">
        <v>968</v>
      </c>
      <c r="J56" s="117"/>
    </row>
    <row r="57" spans="1:10" ht="14.15" customHeight="1" x14ac:dyDescent="0.35">
      <c r="A57" s="101"/>
      <c r="B57" s="24"/>
      <c r="C57" s="85" t="s">
        <v>43</v>
      </c>
      <c r="D57" s="92">
        <v>960</v>
      </c>
      <c r="E57" s="92">
        <v>960</v>
      </c>
      <c r="F57" s="92">
        <v>0</v>
      </c>
      <c r="G57" s="92">
        <v>381</v>
      </c>
      <c r="H57" s="92">
        <f>E57-G57</f>
        <v>579</v>
      </c>
      <c r="I57" s="92">
        <v>435</v>
      </c>
      <c r="J57" s="267"/>
    </row>
    <row r="58" spans="1:10" ht="14.15" customHeight="1" x14ac:dyDescent="0.35">
      <c r="A58" s="101"/>
      <c r="B58" s="24"/>
      <c r="C58" s="139" t="s">
        <v>44</v>
      </c>
      <c r="D58" s="136">
        <v>3000</v>
      </c>
      <c r="E58" s="136">
        <v>3000</v>
      </c>
      <c r="F58" s="136">
        <v>11</v>
      </c>
      <c r="G58" s="136">
        <v>2092</v>
      </c>
      <c r="H58" s="136">
        <f>E58-G58</f>
        <v>908</v>
      </c>
      <c r="I58" s="136">
        <v>2818</v>
      </c>
      <c r="J58" s="117"/>
    </row>
    <row r="59" spans="1:10" ht="14.15" customHeight="1" x14ac:dyDescent="0.3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76.654200000000003</v>
      </c>
      <c r="G79" s="10">
        <f t="shared" si="6"/>
        <v>20892.271370000002</v>
      </c>
      <c r="H79" s="10">
        <f t="shared" si="6"/>
        <v>5248.7286299999987</v>
      </c>
      <c r="I79" s="10">
        <f t="shared" si="6"/>
        <v>23502.560969999999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76.6542</f>
        <v>76.654200000000003</v>
      </c>
      <c r="G80" s="22">
        <f>20355.56275</f>
        <v>20355.562750000001</v>
      </c>
      <c r="H80" s="22">
        <f>E80-G80</f>
        <v>4960.437249999999</v>
      </c>
      <c r="I80" s="22">
        <f>22710.54422</f>
        <v>22710.54422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536.70862</f>
        <v>536.70862</v>
      </c>
      <c r="H81" s="48">
        <f>E81-G81</f>
        <v>288.29138</v>
      </c>
      <c r="I81" s="48">
        <f>792.01675</f>
        <v>792.01675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288.90890999999999</v>
      </c>
      <c r="G82" s="10">
        <f t="shared" si="7"/>
        <v>32912.081630000001</v>
      </c>
      <c r="H82" s="10">
        <f t="shared" si="7"/>
        <v>11216.918369999999</v>
      </c>
      <c r="I82" s="10">
        <f t="shared" si="7"/>
        <v>39584.459769999994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181.89798000000002</v>
      </c>
      <c r="G83" s="129">
        <f t="shared" si="8"/>
        <v>26407.05731</v>
      </c>
      <c r="H83" s="129">
        <f t="shared" si="8"/>
        <v>6097.9426900000008</v>
      </c>
      <c r="I83" s="129">
        <f t="shared" si="8"/>
        <v>31945.547309999998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93.86121</f>
        <v>93.86121</v>
      </c>
      <c r="G84" s="123">
        <f>3536.32275</f>
        <v>3536.3227499999998</v>
      </c>
      <c r="H84" s="123">
        <f t="shared" ref="H84:H91" si="9">E84-G84</f>
        <v>5467.6772500000006</v>
      </c>
      <c r="I84" s="123">
        <f>4975.9895</f>
        <v>4975.9894999999997</v>
      </c>
      <c r="J84" s="267"/>
    </row>
    <row r="85" spans="1:10" ht="14.15" customHeight="1" x14ac:dyDescent="0.35">
      <c r="A85" s="192"/>
      <c r="B85" s="176"/>
      <c r="C85" s="60" t="s">
        <v>48</v>
      </c>
      <c r="D85" s="61">
        <v>8674</v>
      </c>
      <c r="E85" s="61">
        <v>9075</v>
      </c>
      <c r="F85" s="123">
        <f>59.51617</f>
        <v>59.516170000000002</v>
      </c>
      <c r="G85" s="123">
        <f>7067.0599</f>
        <v>7067.0599000000002</v>
      </c>
      <c r="H85" s="123">
        <f t="shared" si="9"/>
        <v>2007.9400999999998</v>
      </c>
      <c r="I85" s="123">
        <f>10399.30087</f>
        <v>10399.300869999999</v>
      </c>
      <c r="J85" s="267"/>
    </row>
    <row r="86" spans="1:10" ht="14.15" customHeight="1" x14ac:dyDescent="0.35">
      <c r="A86" s="192"/>
      <c r="B86" s="176"/>
      <c r="C86" s="60" t="s">
        <v>49</v>
      </c>
      <c r="D86" s="61">
        <v>8266</v>
      </c>
      <c r="E86" s="61">
        <v>8649</v>
      </c>
      <c r="F86" s="123">
        <f>17.09324</f>
        <v>17.093240000000002</v>
      </c>
      <c r="G86" s="123">
        <f>8222.11254</f>
        <v>8222.1125400000001</v>
      </c>
      <c r="H86" s="123">
        <f t="shared" si="9"/>
        <v>426.88745999999992</v>
      </c>
      <c r="I86" s="123">
        <f>9764.46551</f>
        <v>9764.46551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11.42736</f>
        <v>11.42736</v>
      </c>
      <c r="G87" s="123">
        <f>7581.56212</f>
        <v>7581.5621199999996</v>
      </c>
      <c r="H87" s="123">
        <f t="shared" si="9"/>
        <v>-1804.5621199999996</v>
      </c>
      <c r="I87" s="123">
        <f>6805.79143</f>
        <v>6805.7914300000002</v>
      </c>
      <c r="J87" s="267"/>
    </row>
    <row r="88" spans="1:10" ht="14.15" customHeight="1" x14ac:dyDescent="0.35">
      <c r="A88" s="192"/>
      <c r="B88" s="176"/>
      <c r="C88" s="54" t="s">
        <v>50</v>
      </c>
      <c r="D88" s="55">
        <v>7333</v>
      </c>
      <c r="E88" s="55">
        <v>8117</v>
      </c>
      <c r="F88" s="129">
        <f>1.8046</f>
        <v>1.8046</v>
      </c>
      <c r="G88" s="129">
        <f>4816.44715</f>
        <v>4816.44715</v>
      </c>
      <c r="H88" s="129">
        <f t="shared" si="9"/>
        <v>3300.55285</v>
      </c>
      <c r="I88" s="129">
        <f>5386.34311</f>
        <v>5386.3431099999998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105.20633</f>
        <v>105.20632999999999</v>
      </c>
      <c r="G89" s="72">
        <f>1688.57717</f>
        <v>1688.57717</v>
      </c>
      <c r="H89" s="72">
        <f t="shared" si="9"/>
        <v>1818.42283</v>
      </c>
      <c r="I89" s="72">
        <f>2252.56935</f>
        <v>2252.5693500000002</v>
      </c>
      <c r="J89" s="267"/>
    </row>
    <row r="90" spans="1:10" ht="15.75" customHeight="1" x14ac:dyDescent="0.35">
      <c r="A90" s="1"/>
      <c r="B90" s="51"/>
      <c r="C90" s="70" t="s">
        <v>33</v>
      </c>
      <c r="D90" s="86">
        <v>319</v>
      </c>
      <c r="E90" s="86">
        <v>319</v>
      </c>
      <c r="F90" s="95">
        <f>0.00114</f>
        <v>1.14E-3</v>
      </c>
      <c r="G90" s="95">
        <f>37.10349</f>
        <v>37.103490000000001</v>
      </c>
      <c r="H90" s="95">
        <f t="shared" si="9"/>
        <v>281.89650999999998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51</v>
      </c>
      <c r="D91" s="140">
        <v>300</v>
      </c>
      <c r="E91" s="140">
        <v>300</v>
      </c>
      <c r="F91" s="136">
        <f>0.03235</f>
        <v>3.2349999999999997E-2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37</v>
      </c>
      <c r="D92" s="140">
        <v>50</v>
      </c>
      <c r="E92" s="140">
        <v>50</v>
      </c>
      <c r="F92" s="95">
        <f>0</f>
        <v>0</v>
      </c>
      <c r="G92" s="95">
        <f>12.70886</f>
        <v>12.70886</v>
      </c>
      <c r="H92" s="136">
        <f>E92-G92</f>
        <v>37.291139999999999</v>
      </c>
      <c r="I92" s="95">
        <f>33.61757</f>
        <v>33.617570000000001</v>
      </c>
      <c r="J92" s="267"/>
    </row>
    <row r="93" spans="1:10" ht="18" customHeight="1" x14ac:dyDescent="0.3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12.88736</f>
        <v>12.887359999999999</v>
      </c>
      <c r="H93" s="136">
        <f t="shared" ref="H93" si="10">E93-G93</f>
        <v>-12.887359999999999</v>
      </c>
      <c r="I93" s="136">
        <f>16.09444</f>
        <v>16.094439999999999</v>
      </c>
      <c r="J93" s="267"/>
    </row>
    <row r="94" spans="1:10" ht="16.5" customHeight="1" x14ac:dyDescent="0.3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365.59660000000002</v>
      </c>
      <c r="G94" s="73">
        <f t="shared" si="12"/>
        <v>54167.052710000004</v>
      </c>
      <c r="H94" s="73">
        <f t="shared" si="12"/>
        <v>16771.947289999996</v>
      </c>
      <c r="I94" s="73">
        <f t="shared" si="12"/>
        <v>63472.834509999993</v>
      </c>
      <c r="J94" s="267"/>
    </row>
    <row r="95" spans="1:10" ht="13.5" customHeight="1" x14ac:dyDescent="0.3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3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49999999999999" customHeight="1" x14ac:dyDescent="0.3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5" customHeight="1" x14ac:dyDescent="0.3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871.6653</v>
      </c>
      <c r="G115" s="10">
        <f t="shared" si="13"/>
        <v>37854.547780000001</v>
      </c>
      <c r="H115" s="10">
        <f t="shared" si="13"/>
        <v>33160.452219999999</v>
      </c>
      <c r="I115" s="10">
        <f t="shared" si="13"/>
        <v>45324.324549999998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871.6653</f>
        <v>871.6653</v>
      </c>
      <c r="G116" s="22">
        <f>33696.42744</f>
        <v>33696.427439999999</v>
      </c>
      <c r="H116" s="22">
        <f>E116-G116</f>
        <v>22753.572560000001</v>
      </c>
      <c r="I116" s="22">
        <f>39811.20181</f>
        <v>39811.201809999999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4092.76274</f>
        <v>4092.7627400000001</v>
      </c>
      <c r="H117" s="22">
        <f>E117-G117</f>
        <v>9972.2372599999999</v>
      </c>
      <c r="I117" s="22">
        <f>5447.39559</f>
        <v>5447.3955900000001</v>
      </c>
      <c r="J117" s="267"/>
    </row>
    <row r="118" spans="1:10" ht="13.5" customHeight="1" x14ac:dyDescent="0.3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65.72715</f>
        <v>65.727149999999995</v>
      </c>
      <c r="J118" s="267"/>
    </row>
    <row r="119" spans="1:10" ht="14.25" customHeight="1" x14ac:dyDescent="0.35">
      <c r="A119" s="65"/>
      <c r="B119" s="75"/>
      <c r="C119" s="85" t="s">
        <v>61</v>
      </c>
      <c r="D119" s="87">
        <v>43775</v>
      </c>
      <c r="E119" s="87">
        <v>51430</v>
      </c>
      <c r="F119" s="92">
        <f>491.799</f>
        <v>491.79899999999998</v>
      </c>
      <c r="G119" s="92">
        <f>29828.4593+2844.0375</f>
        <v>32672.496799999997</v>
      </c>
      <c r="H119" s="92">
        <f>E119-G119</f>
        <v>18757.503200000003</v>
      </c>
      <c r="I119" s="92">
        <f>15837.8008</f>
        <v>15837.800800000001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698.88290999999992</v>
      </c>
      <c r="G120" s="91">
        <f t="shared" ref="G120" si="14">G121+G126+G129</f>
        <v>42452.937830000003</v>
      </c>
      <c r="H120" s="91">
        <f>H121+H126+H129</f>
        <v>32592.062169999997</v>
      </c>
      <c r="I120" s="91">
        <f>I121+I126+I129</f>
        <v>61450.47494</v>
      </c>
      <c r="J120" s="117"/>
    </row>
    <row r="121" spans="1:10" ht="14.15" customHeight="1" x14ac:dyDescent="0.3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522.98933999999997</v>
      </c>
      <c r="G121" s="121">
        <f>G122+G123+G125+G124</f>
        <v>31322.613410000002</v>
      </c>
      <c r="H121" s="121">
        <f>H122+H123+H124+H125</f>
        <v>25036.386589999998</v>
      </c>
      <c r="I121" s="121">
        <f>I122+I123+I124+I125</f>
        <v>47054.710789999997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160.50149</f>
        <v>160.50148999999999</v>
      </c>
      <c r="G122" s="123">
        <f>7630.52612</f>
        <v>7630.5261200000004</v>
      </c>
      <c r="H122" s="123">
        <f>E122-G122</f>
        <v>8385.4738799999996</v>
      </c>
      <c r="I122" s="123">
        <f>9252.27593</f>
        <v>9252.2759299999998</v>
      </c>
      <c r="J122" s="125"/>
    </row>
    <row r="123" spans="1:10" ht="14.15" customHeight="1" x14ac:dyDescent="0.35">
      <c r="A123" s="192"/>
      <c r="B123" s="176"/>
      <c r="C123" s="60" t="s">
        <v>48</v>
      </c>
      <c r="D123" s="61">
        <v>14094</v>
      </c>
      <c r="E123" s="61">
        <v>14854</v>
      </c>
      <c r="F123" s="123">
        <f>89.4832</f>
        <v>89.483199999999997</v>
      </c>
      <c r="G123" s="123">
        <f>8913.67191-90.7467</f>
        <v>8822.9252099999994</v>
      </c>
      <c r="H123" s="123">
        <f>E123-G123</f>
        <v>6031.0747900000006</v>
      </c>
      <c r="I123" s="123">
        <f>12291.19408</f>
        <v>12291.194079999999</v>
      </c>
      <c r="J123" s="126"/>
    </row>
    <row r="124" spans="1:10" ht="14.15" customHeight="1" x14ac:dyDescent="0.35">
      <c r="A124" s="192"/>
      <c r="B124" s="176"/>
      <c r="C124" s="60" t="s">
        <v>49</v>
      </c>
      <c r="D124" s="61">
        <v>12169</v>
      </c>
      <c r="E124" s="61">
        <v>12872</v>
      </c>
      <c r="F124" s="123">
        <f>150.33705</f>
        <v>150.33705</v>
      </c>
      <c r="G124" s="123">
        <f>8192.12736-494.112</f>
        <v>7698.0153600000003</v>
      </c>
      <c r="H124" s="123">
        <f>E124-G124</f>
        <v>5173.9846399999997</v>
      </c>
      <c r="I124" s="123">
        <f>12473.89553</f>
        <v>12473.89553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122.6676</f>
        <v>122.66759999999999</v>
      </c>
      <c r="G125" s="123">
        <f>9430.32552-2259.1788</f>
        <v>7171.1467200000006</v>
      </c>
      <c r="H125" s="123">
        <f>E125-G125</f>
        <v>5445.8532799999994</v>
      </c>
      <c r="I125" s="123">
        <f>13037.34525</f>
        <v>13037.34525</v>
      </c>
      <c r="J125" s="126"/>
    </row>
    <row r="126" spans="1:10" ht="14.15" customHeight="1" x14ac:dyDescent="0.3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8.4307499999999997</v>
      </c>
      <c r="G126" s="129">
        <f>SUM(G127:G128)</f>
        <v>6213.3428300000005</v>
      </c>
      <c r="H126" s="129">
        <f>H127+H128</f>
        <v>1528.6571699999995</v>
      </c>
      <c r="I126" s="129">
        <f>SUM(I127:I128)</f>
        <v>8906.0827899999986</v>
      </c>
      <c r="J126" s="130"/>
    </row>
    <row r="127" spans="1:10" ht="14.15" customHeight="1" x14ac:dyDescent="0.35">
      <c r="A127" s="1"/>
      <c r="B127" s="277"/>
      <c r="C127" s="60" t="s">
        <v>63</v>
      </c>
      <c r="D127" s="61">
        <v>6819</v>
      </c>
      <c r="E127" s="61">
        <v>7242</v>
      </c>
      <c r="F127" s="123">
        <f>0</f>
        <v>0</v>
      </c>
      <c r="G127" s="123">
        <f>6038.88294</f>
        <v>6038.8829400000004</v>
      </c>
      <c r="H127" s="123">
        <f t="shared" ref="H127:H135" si="15">E127-G127</f>
        <v>1203.1170599999996</v>
      </c>
      <c r="I127" s="123">
        <f>8474.57204</f>
        <v>8474.5720399999991</v>
      </c>
      <c r="J127" s="117"/>
    </row>
    <row r="128" spans="1:10" ht="15" customHeight="1" x14ac:dyDescent="0.35">
      <c r="A128" s="1"/>
      <c r="B128" s="51"/>
      <c r="C128" s="60" t="s">
        <v>64</v>
      </c>
      <c r="D128" s="61">
        <v>500</v>
      </c>
      <c r="E128" s="61">
        <v>500</v>
      </c>
      <c r="F128" s="123">
        <f>8.43075</f>
        <v>8.4307499999999997</v>
      </c>
      <c r="G128" s="123">
        <f>174.45989</f>
        <v>174.45989</v>
      </c>
      <c r="H128" s="123">
        <f t="shared" si="15"/>
        <v>325.54011000000003</v>
      </c>
      <c r="I128" s="123">
        <f>431.51075</f>
        <v>431.51074999999997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167.46282</f>
        <v>167.46281999999999</v>
      </c>
      <c r="G129" s="72">
        <f>4916.98159</f>
        <v>4916.9815900000003</v>
      </c>
      <c r="H129" s="72">
        <f t="shared" si="15"/>
        <v>6027.0184099999997</v>
      </c>
      <c r="I129" s="72">
        <f>5489.68136</f>
        <v>5489.6813599999996</v>
      </c>
      <c r="J129" s="117"/>
    </row>
    <row r="130" spans="1:10" ht="15.75" customHeight="1" x14ac:dyDescent="0.35">
      <c r="A130" s="1"/>
      <c r="B130" s="277"/>
      <c r="C130" s="139" t="s">
        <v>33</v>
      </c>
      <c r="D130" s="140">
        <v>146</v>
      </c>
      <c r="E130" s="140">
        <v>146</v>
      </c>
      <c r="F130" s="136">
        <f>0.27203</f>
        <v>0.27202999999999999</v>
      </c>
      <c r="G130" s="136">
        <f>17.80118</f>
        <v>17.801179999999999</v>
      </c>
      <c r="H130" s="136">
        <f t="shared" si="15"/>
        <v>128.19882000000001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35">
      <c r="A132" s="1"/>
      <c r="B132" s="277"/>
      <c r="C132" s="137" t="s">
        <v>66</v>
      </c>
      <c r="D132" s="140">
        <v>2000</v>
      </c>
      <c r="E132" s="140">
        <v>2000</v>
      </c>
      <c r="F132" s="136">
        <f>4.32926</f>
        <v>4.3292599999999997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67</v>
      </c>
      <c r="D134" s="140">
        <v>313</v>
      </c>
      <c r="E134" s="140">
        <v>313</v>
      </c>
      <c r="F134" s="95">
        <f>0.004</f>
        <v>4.0000000000000001E-3</v>
      </c>
      <c r="G134" s="95">
        <f>88.2371</f>
        <v>88.237099999999998</v>
      </c>
      <c r="H134" s="136">
        <f t="shared" si="15"/>
        <v>224.7629</v>
      </c>
      <c r="I134" s="95">
        <f>47.55071</f>
        <v>47.550710000000002</v>
      </c>
      <c r="J134" s="117"/>
    </row>
    <row r="135" spans="1:10" ht="15" customHeight="1" x14ac:dyDescent="0.35">
      <c r="A135" s="1"/>
      <c r="B135" s="277"/>
      <c r="C135" s="139" t="s">
        <v>38</v>
      </c>
      <c r="D135" s="142"/>
      <c r="E135" s="140"/>
      <c r="F135" s="136">
        <f>0</f>
        <v>0</v>
      </c>
      <c r="G135" s="136">
        <f>91.98029</f>
        <v>91.980289999999997</v>
      </c>
      <c r="H135" s="136">
        <f t="shared" si="15"/>
        <v>-91.980289999999997</v>
      </c>
      <c r="I135" s="136">
        <f>119.86724</f>
        <v>119.86724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2066.9524999999999</v>
      </c>
      <c r="G137" s="73">
        <f>G115+G119+G120+G130+G131+G132+G133+G134+G135</f>
        <v>115179.00198</v>
      </c>
      <c r="H137" s="73">
        <f>H115+H119+H120+H130+H131+H132+H133+H134+H135</f>
        <v>85119.998019999999</v>
      </c>
      <c r="I137" s="73">
        <f>I115+I119+I120+I130+I131+I132+I133+I134+I135</f>
        <v>125051.76678999999</v>
      </c>
      <c r="J137" s="155"/>
    </row>
    <row r="138" spans="1:10" ht="14.25" customHeight="1" x14ac:dyDescent="0.3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5" customHeight="1" x14ac:dyDescent="0.35">
      <c r="A160" s="1"/>
      <c r="B160" s="277"/>
      <c r="C160" s="138" t="s">
        <v>71</v>
      </c>
      <c r="D160" s="91">
        <v>3762</v>
      </c>
      <c r="E160" s="297">
        <f>6.89266</f>
        <v>6.8926600000000002</v>
      </c>
      <c r="F160" s="297">
        <f>941.78585</f>
        <v>941.78584999999998</v>
      </c>
      <c r="G160" s="42">
        <f>D160-F160-F161</f>
        <v>1609.8223399999997</v>
      </c>
      <c r="H160" s="297">
        <f>936.1404</f>
        <v>936.1404</v>
      </c>
      <c r="I160" s="1"/>
      <c r="J160" s="117"/>
    </row>
    <row r="161" spans="1:10" ht="14.15" customHeight="1" x14ac:dyDescent="0.35">
      <c r="A161" s="1"/>
      <c r="B161" s="277"/>
      <c r="C161" s="133" t="s">
        <v>50</v>
      </c>
      <c r="D161" s="175"/>
      <c r="E161" s="148">
        <f>0</f>
        <v>0</v>
      </c>
      <c r="F161" s="148">
        <f>1210.39181</f>
        <v>1210.3918100000001</v>
      </c>
      <c r="G161" s="219"/>
      <c r="H161" s="148">
        <f>1378.13793</f>
        <v>1378.1379300000001</v>
      </c>
      <c r="I161" s="1"/>
      <c r="J161" s="117"/>
    </row>
    <row r="162" spans="1:10" ht="15.65" customHeight="1" x14ac:dyDescent="0.35">
      <c r="A162" s="1"/>
      <c r="B162" s="277"/>
      <c r="C162" s="163" t="s">
        <v>72</v>
      </c>
      <c r="D162" s="95">
        <v>200</v>
      </c>
      <c r="E162" s="166">
        <f>0</f>
        <v>0</v>
      </c>
      <c r="F162" s="166">
        <f>87.07278</f>
        <v>87.072779999999995</v>
      </c>
      <c r="G162" s="166">
        <f>D162-F162</f>
        <v>112.92722000000001</v>
      </c>
      <c r="H162" s="166">
        <f>92.05701</f>
        <v>92.057010000000005</v>
      </c>
      <c r="I162" s="1"/>
      <c r="J162" s="117"/>
    </row>
    <row r="163" spans="1:10" ht="14.15" customHeight="1" x14ac:dyDescent="0.35">
      <c r="A163" s="65"/>
      <c r="B163" s="75"/>
      <c r="C163" s="174" t="s">
        <v>73</v>
      </c>
      <c r="D163" s="175">
        <v>5642</v>
      </c>
      <c r="E163" s="175">
        <f>E164+E165+E166</f>
        <v>17.866540000000001</v>
      </c>
      <c r="F163" s="175">
        <f>F164+F165+F166</f>
        <v>5403.8048100000005</v>
      </c>
      <c r="G163" s="175">
        <f>D163-F163</f>
        <v>238.19518999999946</v>
      </c>
      <c r="H163" s="175">
        <f>H164+H165+H166</f>
        <v>5939.5560100000002</v>
      </c>
      <c r="I163" s="65"/>
      <c r="J163" s="111"/>
    </row>
    <row r="164" spans="1:10" ht="14.15" customHeight="1" x14ac:dyDescent="0.35">
      <c r="A164" s="192"/>
      <c r="B164" s="176"/>
      <c r="C164" s="177" t="s">
        <v>74</v>
      </c>
      <c r="D164" s="123"/>
      <c r="E164" s="123">
        <f>3.204</f>
        <v>3.2040000000000002</v>
      </c>
      <c r="F164" s="123">
        <f>3062.78447</f>
        <v>3062.7844700000001</v>
      </c>
      <c r="G164" s="123"/>
      <c r="H164" s="123">
        <f>3086.9545</f>
        <v>3086.9544999999998</v>
      </c>
      <c r="I164" s="181"/>
      <c r="J164" s="126"/>
    </row>
    <row r="165" spans="1:10" ht="14.15" customHeight="1" x14ac:dyDescent="0.35">
      <c r="A165" s="192"/>
      <c r="B165" s="176"/>
      <c r="C165" s="177" t="s">
        <v>75</v>
      </c>
      <c r="D165" s="123"/>
      <c r="E165" s="123">
        <f>13.13408</f>
        <v>13.134080000000001</v>
      </c>
      <c r="F165" s="123">
        <f>1560.68476</f>
        <v>1560.6847600000001</v>
      </c>
      <c r="G165" s="123"/>
      <c r="H165" s="123">
        <f>1798.85963</f>
        <v>1798.8596299999999</v>
      </c>
      <c r="I165" s="181"/>
      <c r="J165" s="182"/>
    </row>
    <row r="166" spans="1:10" ht="14.15" customHeight="1" x14ac:dyDescent="0.35">
      <c r="A166" s="192"/>
      <c r="B166" s="176"/>
      <c r="C166" s="183" t="s">
        <v>76</v>
      </c>
      <c r="D166" s="186"/>
      <c r="E166" s="186">
        <f>1.52846</f>
        <v>1.5284599999999999</v>
      </c>
      <c r="F166" s="186">
        <f>780.33558</f>
        <v>780.33558000000005</v>
      </c>
      <c r="G166" s="186"/>
      <c r="H166" s="186">
        <f>1053.74188</f>
        <v>1053.74188</v>
      </c>
      <c r="I166" s="181"/>
      <c r="J166" s="182"/>
    </row>
    <row r="167" spans="1:10" ht="14.15" customHeight="1" x14ac:dyDescent="0.3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24.7592</v>
      </c>
      <c r="F169" s="188">
        <f>F160+F161+F162+F163+F167+F168</f>
        <v>7648.4083500000015</v>
      </c>
      <c r="G169" s="188">
        <f>D169-F169</f>
        <v>2026.5916499999985</v>
      </c>
      <c r="H169" s="188">
        <f>H160+H161+H162+H163+H167+H168</f>
        <v>8345.8913499999999</v>
      </c>
      <c r="I169" s="159"/>
      <c r="J169" s="155"/>
    </row>
    <row r="170" spans="1:10" ht="42" customHeight="1" x14ac:dyDescent="0.3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346.83411</f>
        <v>346.83411000000001</v>
      </c>
      <c r="G189" s="124">
        <f>43563.62845</f>
        <v>43563.628449999997</v>
      </c>
      <c r="H189" s="124">
        <f>E189-G189</f>
        <v>-228.62844999999652</v>
      </c>
      <c r="I189" s="124">
        <f>39540.92958</f>
        <v>39540.929580000004</v>
      </c>
      <c r="J189" s="117"/>
    </row>
    <row r="190" spans="1:10" ht="15" customHeight="1" x14ac:dyDescent="0.35">
      <c r="A190" s="1"/>
      <c r="B190" s="277"/>
      <c r="C190" s="90" t="s">
        <v>64</v>
      </c>
      <c r="D190" s="124">
        <v>100</v>
      </c>
      <c r="E190" s="124">
        <v>100</v>
      </c>
      <c r="F190" s="124">
        <f>0.307</f>
        <v>0.307</v>
      </c>
      <c r="G190" s="124">
        <f>36.55834</f>
        <v>36.558340000000001</v>
      </c>
      <c r="H190" s="124">
        <f>E190-G190</f>
        <v>63.441659999999999</v>
      </c>
      <c r="I190" s="124">
        <f>38.97292</f>
        <v>38.972920000000002</v>
      </c>
      <c r="J190" s="117"/>
    </row>
    <row r="191" spans="1:10" ht="15.75" customHeight="1" x14ac:dyDescent="0.3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E191-G191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347.14111000000003</v>
      </c>
      <c r="G192" s="190">
        <f>SUM(G189:G191)</f>
        <v>43600.18679</v>
      </c>
      <c r="H192" s="190">
        <f>E192-G192</f>
        <v>-129.18678999999975</v>
      </c>
      <c r="I192" s="190">
        <f>SUM(I189:I191)</f>
        <v>39579.902500000004</v>
      </c>
      <c r="J192" s="117"/>
    </row>
    <row r="193" spans="1:10" ht="12" customHeight="1" x14ac:dyDescent="0.3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35">
      <c r="A202" s="1"/>
      <c r="B202" s="277"/>
      <c r="C202" s="90" t="s">
        <v>113</v>
      </c>
      <c r="D202" s="124">
        <v>3987</v>
      </c>
      <c r="E202" s="72">
        <f>E203+E204</f>
        <v>72.448660000000004</v>
      </c>
      <c r="F202" s="72">
        <f>F203+F204</f>
        <v>3575.1850000000004</v>
      </c>
      <c r="G202" s="72">
        <f>D202-F202</f>
        <v>411.8149999999996</v>
      </c>
      <c r="H202" s="72">
        <f>H203+H204</f>
        <v>4061.48398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66.24068</f>
        <v>66.240679999999998</v>
      </c>
      <c r="F203" s="72">
        <f>2937.62744</f>
        <v>2937.6274400000002</v>
      </c>
      <c r="G203" s="72"/>
      <c r="H203" s="72">
        <f>3527.95554</f>
        <v>3527.9555399999999</v>
      </c>
      <c r="I203" s="271"/>
      <c r="J203" s="117"/>
    </row>
    <row r="204" spans="1:10" ht="15" customHeight="1" x14ac:dyDescent="0.35">
      <c r="A204" s="1"/>
      <c r="B204" s="277"/>
      <c r="C204" s="172" t="s">
        <v>64</v>
      </c>
      <c r="D204" s="124"/>
      <c r="E204" s="124">
        <f>6.20798</f>
        <v>6.2079800000000001</v>
      </c>
      <c r="F204" s="124">
        <f>637.55756</f>
        <v>637.55755999999997</v>
      </c>
      <c r="G204" s="168"/>
      <c r="H204" s="124">
        <f>533.52844</f>
        <v>533.52844000000005</v>
      </c>
      <c r="I204" s="271"/>
      <c r="J204" s="117"/>
    </row>
    <row r="205" spans="1:10" ht="15" customHeight="1" x14ac:dyDescent="0.35">
      <c r="A205" s="1"/>
      <c r="B205" s="277"/>
      <c r="C205" s="90" t="s">
        <v>114</v>
      </c>
      <c r="D205" s="124">
        <v>4613</v>
      </c>
      <c r="E205" s="72">
        <f>58.04176</f>
        <v>58.041759999999996</v>
      </c>
      <c r="F205" s="72">
        <f>4482.78297</f>
        <v>4482.7829700000002</v>
      </c>
      <c r="G205" s="72">
        <f>D205-F205</f>
        <v>130.2170299999998</v>
      </c>
      <c r="H205" s="72">
        <f>5155.19705</f>
        <v>5155.1970499999998</v>
      </c>
      <c r="I205" s="271"/>
      <c r="J205" s="117"/>
    </row>
    <row r="206" spans="1:10" ht="16.5" customHeight="1" x14ac:dyDescent="0.35">
      <c r="A206" s="1"/>
      <c r="B206" s="277"/>
      <c r="C206" s="179" t="s">
        <v>83</v>
      </c>
      <c r="D206" s="190">
        <f>D205+D202</f>
        <v>8600</v>
      </c>
      <c r="E206" s="190">
        <f>SUM(E202,E205)</f>
        <v>130.49042</v>
      </c>
      <c r="F206" s="190">
        <f>SUM(F202,F205)</f>
        <v>8057.9679700000006</v>
      </c>
      <c r="G206" s="190">
        <f>D206-F206</f>
        <v>542.03202999999939</v>
      </c>
      <c r="H206" s="190">
        <f>SUM(H202,H205)</f>
        <v>9216.6810299999997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35">
      <c r="A215" s="1"/>
      <c r="B215" s="277"/>
      <c r="C215" s="90" t="s">
        <v>113</v>
      </c>
      <c r="D215" s="124">
        <v>5090</v>
      </c>
      <c r="E215" s="72">
        <f>E216+E217</f>
        <v>257.19605999999999</v>
      </c>
      <c r="F215" s="72">
        <f>F216+F217</f>
        <v>5017.4403699999993</v>
      </c>
      <c r="G215" s="72">
        <f>D215-F215</f>
        <v>72.559630000000652</v>
      </c>
      <c r="H215" s="72">
        <f>H216+H217</f>
        <v>5011.5213400000002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254.723</f>
        <v>254.72300000000001</v>
      </c>
      <c r="F216" s="72">
        <f>4688.76179</f>
        <v>4688.7617899999996</v>
      </c>
      <c r="G216" s="72"/>
      <c r="H216" s="72">
        <f>4554.82813</f>
        <v>4554.8281299999999</v>
      </c>
      <c r="I216" s="271"/>
      <c r="J216" s="117"/>
    </row>
    <row r="217" spans="1:10" ht="15" customHeight="1" x14ac:dyDescent="0.35">
      <c r="A217" s="1"/>
      <c r="B217" s="277"/>
      <c r="C217" s="172" t="s">
        <v>64</v>
      </c>
      <c r="D217" s="124"/>
      <c r="E217" s="124">
        <f>2.47306</f>
        <v>2.4730599999999998</v>
      </c>
      <c r="F217" s="124">
        <f>328.67858</f>
        <v>328.67858000000001</v>
      </c>
      <c r="G217" s="168"/>
      <c r="H217" s="124">
        <f>456.69321</f>
        <v>456.69321000000002</v>
      </c>
      <c r="I217" s="271"/>
      <c r="J217" s="117"/>
    </row>
    <row r="218" spans="1:10" ht="15" customHeight="1" x14ac:dyDescent="0.35">
      <c r="A218" s="1"/>
      <c r="B218" s="277"/>
      <c r="C218" s="90" t="s">
        <v>114</v>
      </c>
      <c r="D218" s="124">
        <v>2981</v>
      </c>
      <c r="E218" s="72">
        <f>73.83258</f>
        <v>73.832579999999993</v>
      </c>
      <c r="F218" s="72">
        <f>2166.62905</f>
        <v>2166.62905</v>
      </c>
      <c r="G218" s="72">
        <f>D218-F218</f>
        <v>814.37094999999999</v>
      </c>
      <c r="H218" s="72">
        <f>2515.10585</f>
        <v>2515.1058499999999</v>
      </c>
      <c r="I218" s="271"/>
      <c r="J218" s="117"/>
    </row>
    <row r="219" spans="1:10" ht="16.5" customHeight="1" x14ac:dyDescent="0.35">
      <c r="A219" s="1"/>
      <c r="B219" s="277"/>
      <c r="C219" s="179" t="s">
        <v>83</v>
      </c>
      <c r="D219" s="190">
        <f>D218+D215</f>
        <v>8071</v>
      </c>
      <c r="E219" s="190">
        <f>SUM(E215,E218)</f>
        <v>331.02864</v>
      </c>
      <c r="F219" s="190">
        <f>SUM(F215,F218)</f>
        <v>7184.0694199999998</v>
      </c>
      <c r="G219" s="190">
        <f>D219-F219</f>
        <v>886.93058000000019</v>
      </c>
      <c r="H219" s="190">
        <f>SUM(H215,H218)</f>
        <v>7526.6271900000002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5" customHeight="1" x14ac:dyDescent="0.35">
      <c r="A237" s="65"/>
      <c r="B237" s="75"/>
      <c r="C237" s="90" t="s">
        <v>89</v>
      </c>
      <c r="D237" s="124">
        <v>800</v>
      </c>
      <c r="E237" s="124">
        <f>5.52146</f>
        <v>5.5214600000000003</v>
      </c>
      <c r="F237" s="124">
        <f>448.07953</f>
        <v>448.07952999999998</v>
      </c>
      <c r="G237" s="124">
        <f>D237-F237</f>
        <v>351.92047000000002</v>
      </c>
      <c r="H237" s="124">
        <f>548.62623</f>
        <v>548.62622999999996</v>
      </c>
      <c r="I237" s="65"/>
      <c r="J237" s="267"/>
    </row>
    <row r="238" spans="1:10" ht="14.15" customHeight="1" x14ac:dyDescent="0.35">
      <c r="A238" s="1"/>
      <c r="B238" s="277"/>
      <c r="C238" s="90" t="s">
        <v>90</v>
      </c>
      <c r="D238" s="269">
        <v>2193</v>
      </c>
      <c r="E238" s="124">
        <f>56.59354</f>
        <v>56.593539999999997</v>
      </c>
      <c r="F238" s="124">
        <f>1078.80438</f>
        <v>1078.80438</v>
      </c>
      <c r="G238" s="124">
        <f>D238-F238</f>
        <v>1114.19562</v>
      </c>
      <c r="H238" s="124">
        <f>2133.05386</f>
        <v>2133.05386</v>
      </c>
      <c r="I238" s="173"/>
      <c r="J238" s="111"/>
    </row>
    <row r="239" spans="1:10" ht="16.5" customHeight="1" x14ac:dyDescent="0.35">
      <c r="A239" s="65"/>
      <c r="B239" s="75"/>
      <c r="C239" s="146" t="s">
        <v>77</v>
      </c>
      <c r="D239" s="269">
        <v>10</v>
      </c>
      <c r="E239" s="168">
        <f>0</f>
        <v>0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91</v>
      </c>
      <c r="D240" s="245"/>
      <c r="E240" s="168">
        <f>0</f>
        <v>0</v>
      </c>
      <c r="F240" s="168">
        <f>3.02253</f>
        <v>3.0225300000000002</v>
      </c>
      <c r="G240" s="124">
        <f>D240-F240</f>
        <v>-3.0225300000000002</v>
      </c>
      <c r="H240" s="168">
        <f>0.248</f>
        <v>0.248</v>
      </c>
      <c r="I240" s="305"/>
      <c r="J240" s="117"/>
    </row>
    <row r="241" spans="1:10" ht="14.15" customHeight="1" x14ac:dyDescent="0.35">
      <c r="A241" s="1"/>
      <c r="B241" s="277"/>
      <c r="C241" s="179" t="s">
        <v>83</v>
      </c>
      <c r="D241" s="5">
        <f>D226</f>
        <v>3003</v>
      </c>
      <c r="E241" s="190">
        <f>SUM(E237:E240)</f>
        <v>62.114999999999995</v>
      </c>
      <c r="F241" s="190">
        <f>SUM(F237:F240)</f>
        <v>1532.9601399999999</v>
      </c>
      <c r="G241" s="190">
        <f>D241-F241</f>
        <v>1470.0398600000001</v>
      </c>
      <c r="H241" s="190">
        <f>H237+H238+H239+H240</f>
        <v>2685.5377100000001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109</v>
      </c>
    </row>
    <row r="245" spans="1:10" ht="14.15" customHeight="1" x14ac:dyDescent="0.35">
      <c r="A245" s="1" t="s">
        <v>109</v>
      </c>
    </row>
    <row r="246" spans="1:10" ht="30" customHeight="1" x14ac:dyDescent="0.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3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133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588.17606000000001</v>
      </c>
      <c r="G262" s="276">
        <f t="shared" si="17"/>
        <v>17476.346030000001</v>
      </c>
      <c r="H262" s="276">
        <f>H266+H265+H264+H263</f>
        <v>10259.653969999999</v>
      </c>
      <c r="I262" s="276">
        <f t="shared" si="17"/>
        <v>15943.161609999999</v>
      </c>
      <c r="J262" s="127"/>
    </row>
    <row r="263" spans="1:10" ht="14.15" customHeight="1" x14ac:dyDescent="0.35">
      <c r="A263" s="223"/>
      <c r="B263" s="69"/>
      <c r="C263" s="278" t="s">
        <v>99</v>
      </c>
      <c r="D263" s="279">
        <v>14132</v>
      </c>
      <c r="E263" s="279">
        <v>16670</v>
      </c>
      <c r="F263" s="280">
        <f>552.3915</f>
        <v>552.39149999999995</v>
      </c>
      <c r="G263" s="280">
        <f>10941.67904</f>
        <v>10941.679040000001</v>
      </c>
      <c r="H263" s="280">
        <f t="shared" ref="H263:H267" si="18">E263-G263</f>
        <v>5728.3209599999991</v>
      </c>
      <c r="I263" s="280">
        <f>10009.7122</f>
        <v>10009.7122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2124.96427</f>
        <v>2124.9642699999999</v>
      </c>
      <c r="H264" s="280">
        <f>E264-G264</f>
        <v>2214.0357300000001</v>
      </c>
      <c r="I264" s="280">
        <f>1868.18502</f>
        <v>1868.1850199999999</v>
      </c>
      <c r="J264" s="127"/>
    </row>
    <row r="265" spans="1:10" ht="14.15" customHeight="1" x14ac:dyDescent="0.35">
      <c r="A265" s="223"/>
      <c r="B265" s="69"/>
      <c r="C265" s="282" t="s">
        <v>96</v>
      </c>
      <c r="D265" s="279">
        <v>1506</v>
      </c>
      <c r="E265" s="279">
        <v>1571</v>
      </c>
      <c r="F265" s="280">
        <f>9.22836</f>
        <v>9.2283600000000003</v>
      </c>
      <c r="G265" s="280">
        <f>1435.56813</f>
        <v>1435.5681300000001</v>
      </c>
      <c r="H265" s="280">
        <f t="shared" si="18"/>
        <v>135.43186999999989</v>
      </c>
      <c r="I265" s="280">
        <f>1714.03353</f>
        <v>1714.0335299999999</v>
      </c>
      <c r="J265" s="127"/>
    </row>
    <row r="266" spans="1:10" ht="14.15" customHeight="1" x14ac:dyDescent="0.35">
      <c r="A266" s="223"/>
      <c r="B266" s="69"/>
      <c r="C266" s="284" t="s">
        <v>119</v>
      </c>
      <c r="D266" s="285">
        <v>5043</v>
      </c>
      <c r="E266" s="285">
        <v>5156</v>
      </c>
      <c r="F266" s="280">
        <f>26.5562</f>
        <v>26.5562</v>
      </c>
      <c r="G266" s="280">
        <f>2974.13459</f>
        <v>2974.1345900000001</v>
      </c>
      <c r="H266" s="280">
        <f t="shared" si="18"/>
        <v>2181.8654099999999</v>
      </c>
      <c r="I266" s="280">
        <f>2351.23086</f>
        <v>2351.2308600000001</v>
      </c>
      <c r="J266" s="127"/>
    </row>
    <row r="267" spans="1:10" ht="14.15" customHeight="1" x14ac:dyDescent="0.35">
      <c r="A267" s="223"/>
      <c r="B267" s="69"/>
      <c r="C267" s="287" t="s">
        <v>56</v>
      </c>
      <c r="D267" s="288">
        <v>5500</v>
      </c>
      <c r="E267" s="288">
        <v>5500</v>
      </c>
      <c r="F267" s="290">
        <f>0.055</f>
        <v>5.5E-2</v>
      </c>
      <c r="G267" s="290">
        <f>4101.29724</f>
        <v>4101.2972399999999</v>
      </c>
      <c r="H267" s="290">
        <f t="shared" si="18"/>
        <v>1398.7027600000001</v>
      </c>
      <c r="I267" s="290">
        <f>2105.27278</f>
        <v>2105.2727799999998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85.161640000000006</v>
      </c>
      <c r="G268" s="291">
        <f>G270+G269</f>
        <v>2677.5311499999998</v>
      </c>
      <c r="H268" s="291">
        <f>E268-G268</f>
        <v>5322.4688500000002</v>
      </c>
      <c r="I268" s="291">
        <f>I270+I269</f>
        <v>3119.0348900000004</v>
      </c>
      <c r="J268" s="127"/>
    </row>
    <row r="269" spans="1:10" ht="14.15" customHeight="1" x14ac:dyDescent="0.35">
      <c r="A269" s="223"/>
      <c r="B269" s="69"/>
      <c r="C269" s="282" t="s">
        <v>50</v>
      </c>
      <c r="D269" s="293"/>
      <c r="E269" s="279"/>
      <c r="F269" s="280">
        <f>7.0818</f>
        <v>7.0818000000000003</v>
      </c>
      <c r="G269" s="280">
        <f>522.71749</f>
        <v>522.71749</v>
      </c>
      <c r="H269" s="280"/>
      <c r="I269" s="280">
        <f>1023.4614</f>
        <v>1023.4614</v>
      </c>
      <c r="J269" s="127"/>
    </row>
    <row r="270" spans="1:10" ht="14.15" customHeight="1" x14ac:dyDescent="0.35">
      <c r="A270" s="223"/>
      <c r="B270" s="69"/>
      <c r="C270" s="295" t="s">
        <v>100</v>
      </c>
      <c r="D270" s="296"/>
      <c r="E270" s="298"/>
      <c r="F270" s="299">
        <f>78.07984</f>
        <v>78.079840000000004</v>
      </c>
      <c r="G270" s="299">
        <f>2154.81366</f>
        <v>2154.8136599999998</v>
      </c>
      <c r="H270" s="299"/>
      <c r="I270" s="299">
        <f>2095.57349</f>
        <v>2095.5734900000002</v>
      </c>
      <c r="J270" s="127"/>
    </row>
    <row r="271" spans="1:10" ht="14.15" customHeight="1" x14ac:dyDescent="0.3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5" customHeight="1" x14ac:dyDescent="0.35">
      <c r="A272" s="223"/>
      <c r="B272" s="69"/>
      <c r="C272" s="300" t="s">
        <v>101</v>
      </c>
      <c r="D272" s="303"/>
      <c r="E272" s="304"/>
      <c r="F272" s="290">
        <f>0.08</f>
        <v>0.08</v>
      </c>
      <c r="G272" s="290">
        <f>160.03341</f>
        <v>160.03341</v>
      </c>
      <c r="H272" s="290">
        <f>E272-G272</f>
        <v>-160.03341</v>
      </c>
      <c r="I272" s="290">
        <f>104.99219</f>
        <v>104.99218999999999</v>
      </c>
      <c r="J272" s="127"/>
    </row>
    <row r="273" spans="1:10" ht="19.5" customHeight="1" x14ac:dyDescent="0.3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673.47270000000003</v>
      </c>
      <c r="G273" s="308">
        <f t="shared" si="19"/>
        <v>24415.776330000001</v>
      </c>
      <c r="H273" s="308">
        <f>H262+H267+H268+H271+H272</f>
        <v>16833.223669999999</v>
      </c>
      <c r="I273" s="308">
        <f t="shared" si="19"/>
        <v>21272.577869999997</v>
      </c>
      <c r="J273" s="127"/>
    </row>
    <row r="274" spans="1:10" ht="14.15" customHeight="1" x14ac:dyDescent="0.3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109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117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104</v>
      </c>
      <c r="D293" s="21" t="s">
        <v>105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5" customHeight="1" x14ac:dyDescent="0.35">
      <c r="A294" s="223"/>
      <c r="B294" s="69"/>
      <c r="C294" s="287" t="s">
        <v>106</v>
      </c>
      <c r="D294" s="197">
        <v>779</v>
      </c>
      <c r="E294" s="25">
        <f>SUM(E295:E296)</f>
        <v>13.029699999999998</v>
      </c>
      <c r="F294" s="25">
        <f>SUM(F295:F296)</f>
        <v>669.27605000000005</v>
      </c>
      <c r="G294" s="82">
        <f>D294-F294</f>
        <v>109.72394999999995</v>
      </c>
      <c r="H294" s="25">
        <f>SUM(H295:H296)</f>
        <v>763.9561799999999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9.0155</f>
        <v>9.0154999999999994</v>
      </c>
      <c r="F295" s="198">
        <f>502.71615</f>
        <v>502.71615000000003</v>
      </c>
      <c r="G295" s="199"/>
      <c r="H295" s="198">
        <f>583.22908</f>
        <v>583.22907999999995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4.0142</f>
        <v>4.0141999999999998</v>
      </c>
      <c r="F296" s="202">
        <f>166.5599</f>
        <v>166.5599</v>
      </c>
      <c r="G296" s="203"/>
      <c r="H296" s="202">
        <f>180.7271</f>
        <v>180.72710000000001</v>
      </c>
      <c r="I296" s="145"/>
      <c r="J296" s="127"/>
    </row>
    <row r="297" spans="1:10" ht="14.15" customHeight="1" x14ac:dyDescent="0.3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5" customHeight="1" x14ac:dyDescent="0.3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5" customHeight="1" x14ac:dyDescent="0.3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13.029699999999998</v>
      </c>
      <c r="F304" s="39">
        <f>F294+F297+F300+F303</f>
        <v>669.27605000000005</v>
      </c>
      <c r="G304" s="40">
        <f>D304-F304</f>
        <v>1668.7239500000001</v>
      </c>
      <c r="H304" s="39">
        <f>H294+H297+H300+H303</f>
        <v>763.9561799999999</v>
      </c>
      <c r="I304" s="26"/>
      <c r="J304" s="127"/>
    </row>
    <row r="305" spans="1:10" ht="42" customHeight="1" x14ac:dyDescent="0.35">
      <c r="A305" s="223"/>
      <c r="B305" s="230"/>
      <c r="C305" s="326" t="s">
        <v>112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109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154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104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35">
      <c r="A322" s="223"/>
      <c r="B322" s="69"/>
      <c r="C322" s="236" t="s">
        <v>151</v>
      </c>
      <c r="D322" s="237">
        <v>248</v>
      </c>
      <c r="E322" s="29">
        <f>0.13555</f>
        <v>0.13555</v>
      </c>
      <c r="F322" s="29">
        <f>942.30628</f>
        <v>942.30628000000002</v>
      </c>
      <c r="G322" s="238">
        <f>D322-F322</f>
        <v>-694.30628000000002</v>
      </c>
      <c r="H322" s="29">
        <f>585.33426</f>
        <v>585.33425999999997</v>
      </c>
      <c r="I322" s="242"/>
      <c r="J322" s="127"/>
    </row>
    <row r="323" spans="1:10" ht="17.5" customHeight="1" x14ac:dyDescent="0.35">
      <c r="A323" s="223"/>
      <c r="B323" s="69"/>
      <c r="C323" s="239" t="s">
        <v>152</v>
      </c>
      <c r="D323" s="240">
        <v>22048</v>
      </c>
      <c r="E323" s="29">
        <f>26.22281</f>
        <v>26.222809999999999</v>
      </c>
      <c r="F323" s="29">
        <f>1485.05921</f>
        <v>1485.0592099999999</v>
      </c>
      <c r="G323" s="241">
        <f>D323-F323</f>
        <v>20562.940790000001</v>
      </c>
      <c r="H323" s="29">
        <f>1953.69974</f>
        <v>1953.69974</v>
      </c>
      <c r="I323" s="26"/>
      <c r="J323" s="127"/>
    </row>
    <row r="324" spans="1:10" ht="17.149999999999999" customHeight="1" x14ac:dyDescent="0.35">
      <c r="A324" s="223"/>
      <c r="B324" s="69"/>
      <c r="C324" s="306" t="s">
        <v>83</v>
      </c>
      <c r="D324" s="229">
        <f>D322+D323</f>
        <v>22296</v>
      </c>
      <c r="E324" s="39">
        <f>E323+E322</f>
        <v>26.358359999999998</v>
      </c>
      <c r="F324" s="39">
        <f>F323+F322</f>
        <v>2427.3654900000001</v>
      </c>
      <c r="G324" s="39">
        <f>G323+G322</f>
        <v>19868.63451</v>
      </c>
      <c r="H324" s="39">
        <f>H323+H322</f>
        <v>2539.0340000000001</v>
      </c>
      <c r="I324" s="26"/>
      <c r="J324" s="127"/>
    </row>
    <row r="325" spans="1:10" ht="22.5" customHeight="1" x14ac:dyDescent="0.35">
      <c r="A325" s="223"/>
      <c r="B325" s="69"/>
      <c r="C325" s="322" t="s">
        <v>153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109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146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3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153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38&amp;R22.09.2025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2025-09-22T12:31:11Z</dcterms:modified>
</cp:coreProperties>
</file>