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ECF0B85C-F9F5-4C44-844B-B508861FDC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H125" i="1" s="1"/>
  <c r="G124" i="1"/>
  <c r="H345" i="1"/>
  <c r="G345" i="1"/>
  <c r="F345" i="1"/>
  <c r="E345" i="1"/>
  <c r="D345" i="1"/>
  <c r="G344" i="1"/>
  <c r="G343" i="1"/>
  <c r="E336" i="1"/>
  <c r="F324" i="1"/>
  <c r="D324" i="1"/>
  <c r="H323" i="1"/>
  <c r="H324" i="1" s="1"/>
  <c r="F323" i="1"/>
  <c r="G323" i="1" s="1"/>
  <c r="G324" i="1" s="1"/>
  <c r="E323" i="1"/>
  <c r="E324" i="1" s="1"/>
  <c r="H322" i="1"/>
  <c r="G322" i="1"/>
  <c r="F322" i="1"/>
  <c r="E322" i="1"/>
  <c r="E315" i="1"/>
  <c r="D315" i="1"/>
  <c r="D304" i="1"/>
  <c r="H303" i="1"/>
  <c r="G303" i="1"/>
  <c r="F303" i="1"/>
  <c r="E303" i="1"/>
  <c r="H302" i="1"/>
  <c r="F302" i="1"/>
  <c r="F300" i="1" s="1"/>
  <c r="G300" i="1" s="1"/>
  <c r="E302" i="1"/>
  <c r="H301" i="1"/>
  <c r="F301" i="1"/>
  <c r="E301" i="1"/>
  <c r="E300" i="1" s="1"/>
  <c r="H300" i="1"/>
  <c r="H299" i="1"/>
  <c r="F299" i="1"/>
  <c r="E299" i="1"/>
  <c r="H298" i="1"/>
  <c r="H297" i="1" s="1"/>
  <c r="F298" i="1"/>
  <c r="E298" i="1"/>
  <c r="F297" i="1"/>
  <c r="G297" i="1" s="1"/>
  <c r="E297" i="1"/>
  <c r="E304" i="1" s="1"/>
  <c r="H296" i="1"/>
  <c r="F296" i="1"/>
  <c r="E296" i="1"/>
  <c r="H295" i="1"/>
  <c r="F295" i="1"/>
  <c r="F294" i="1" s="1"/>
  <c r="E295" i="1"/>
  <c r="H294" i="1"/>
  <c r="H304" i="1" s="1"/>
  <c r="E294" i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G262" i="1" s="1"/>
  <c r="G273" i="1" s="1"/>
  <c r="F265" i="1"/>
  <c r="I264" i="1"/>
  <c r="H264" i="1"/>
  <c r="H262" i="1" s="1"/>
  <c r="G264" i="1"/>
  <c r="F264" i="1"/>
  <c r="I263" i="1"/>
  <c r="H263" i="1"/>
  <c r="G263" i="1"/>
  <c r="F263" i="1"/>
  <c r="I262" i="1"/>
  <c r="I273" i="1" s="1"/>
  <c r="F262" i="1"/>
  <c r="F273" i="1" s="1"/>
  <c r="E262" i="1"/>
  <c r="D262" i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E241" i="1" s="1"/>
  <c r="H237" i="1"/>
  <c r="H241" i="1" s="1"/>
  <c r="F237" i="1"/>
  <c r="F241" i="1" s="1"/>
  <c r="G241" i="1" s="1"/>
  <c r="E237" i="1"/>
  <c r="D219" i="1"/>
  <c r="H218" i="1"/>
  <c r="G218" i="1"/>
  <c r="F218" i="1"/>
  <c r="E218" i="1"/>
  <c r="H217" i="1"/>
  <c r="F217" i="1"/>
  <c r="F215" i="1" s="1"/>
  <c r="E217" i="1"/>
  <c r="H216" i="1"/>
  <c r="H215" i="1" s="1"/>
  <c r="H219" i="1" s="1"/>
  <c r="F216" i="1"/>
  <c r="E216" i="1"/>
  <c r="E215" i="1" s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E202" i="1" s="1"/>
  <c r="E206" i="1" s="1"/>
  <c r="H203" i="1"/>
  <c r="F203" i="1"/>
  <c r="E203" i="1"/>
  <c r="F202" i="1"/>
  <c r="G202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F162" i="1"/>
  <c r="G162" i="1" s="1"/>
  <c r="E162" i="1"/>
  <c r="H161" i="1"/>
  <c r="F161" i="1"/>
  <c r="E161" i="1"/>
  <c r="H160" i="1"/>
  <c r="F160" i="1"/>
  <c r="E160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F126" i="1" s="1"/>
  <c r="F120" i="1" s="1"/>
  <c r="I126" i="1"/>
  <c r="G126" i="1"/>
  <c r="E126" i="1"/>
  <c r="D126" i="1"/>
  <c r="I125" i="1"/>
  <c r="F125" i="1"/>
  <c r="I124" i="1"/>
  <c r="H124" i="1"/>
  <c r="F124" i="1"/>
  <c r="I123" i="1"/>
  <c r="G123" i="1"/>
  <c r="H123" i="1" s="1"/>
  <c r="F123" i="1"/>
  <c r="I122" i="1"/>
  <c r="I121" i="1" s="1"/>
  <c r="I120" i="1" s="1"/>
  <c r="G122" i="1"/>
  <c r="H122" i="1" s="1"/>
  <c r="F122" i="1"/>
  <c r="F121" i="1"/>
  <c r="E121" i="1"/>
  <c r="D121" i="1"/>
  <c r="E120" i="1"/>
  <c r="D120" i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G116" i="1"/>
  <c r="H116" i="1" s="1"/>
  <c r="F116" i="1"/>
  <c r="F115" i="1" s="1"/>
  <c r="F137" i="1" s="1"/>
  <c r="I115" i="1"/>
  <c r="I137" i="1" s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I83" i="1" s="1"/>
  <c r="I82" i="1" s="1"/>
  <c r="H85" i="1"/>
  <c r="H83" i="1" s="1"/>
  <c r="H82" i="1" s="1"/>
  <c r="G85" i="1"/>
  <c r="F85" i="1"/>
  <c r="I84" i="1"/>
  <c r="H84" i="1"/>
  <c r="G84" i="1"/>
  <c r="F84" i="1"/>
  <c r="G83" i="1"/>
  <c r="F83" i="1"/>
  <c r="E83" i="1"/>
  <c r="D83" i="1"/>
  <c r="G82" i="1"/>
  <c r="F82" i="1"/>
  <c r="E82" i="1"/>
  <c r="D82" i="1"/>
  <c r="I81" i="1"/>
  <c r="H81" i="1"/>
  <c r="H79" i="1" s="1"/>
  <c r="H94" i="1" s="1"/>
  <c r="G81" i="1"/>
  <c r="F81" i="1"/>
  <c r="I80" i="1"/>
  <c r="I79" i="1" s="1"/>
  <c r="I94" i="1" s="1"/>
  <c r="H80" i="1"/>
  <c r="G80" i="1"/>
  <c r="G79" i="1" s="1"/>
  <c r="G94" i="1" s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I26" i="1" s="1"/>
  <c r="H52" i="1"/>
  <c r="G52" i="1"/>
  <c r="G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I33" i="1" s="1"/>
  <c r="I25" i="1" s="1"/>
  <c r="G34" i="1"/>
  <c r="H34" i="1" s="1"/>
  <c r="F34" i="1"/>
  <c r="F33" i="1" s="1"/>
  <c r="E33" i="1"/>
  <c r="D33" i="1"/>
  <c r="I32" i="1"/>
  <c r="H32" i="1"/>
  <c r="G32" i="1"/>
  <c r="F32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E26" i="1"/>
  <c r="D26" i="1"/>
  <c r="E25" i="1"/>
  <c r="D25" i="1"/>
  <c r="I24" i="1"/>
  <c r="H24" i="1"/>
  <c r="G24" i="1"/>
  <c r="F24" i="1"/>
  <c r="I23" i="1"/>
  <c r="I22" i="1" s="1"/>
  <c r="H23" i="1"/>
  <c r="H22" i="1" s="1"/>
  <c r="G23" i="1"/>
  <c r="G22" i="1" s="1"/>
  <c r="F23" i="1"/>
  <c r="F22" i="1" s="1"/>
  <c r="E22" i="1"/>
  <c r="E42" i="1" s="1"/>
  <c r="D22" i="1"/>
  <c r="D42" i="1" s="1"/>
  <c r="H16" i="1"/>
  <c r="F16" i="1"/>
  <c r="D16" i="1"/>
  <c r="G121" i="1" l="1"/>
  <c r="G120" i="1" s="1"/>
  <c r="I42" i="1"/>
  <c r="H115" i="1"/>
  <c r="F219" i="1"/>
  <c r="G219" i="1" s="1"/>
  <c r="G215" i="1"/>
  <c r="H169" i="1"/>
  <c r="F26" i="1"/>
  <c r="H121" i="1"/>
  <c r="H126" i="1"/>
  <c r="F304" i="1"/>
  <c r="G304" i="1" s="1"/>
  <c r="G294" i="1"/>
  <c r="G26" i="1"/>
  <c r="H31" i="1"/>
  <c r="H26" i="1" s="1"/>
  <c r="F25" i="1"/>
  <c r="F42" i="1" s="1"/>
  <c r="E169" i="1"/>
  <c r="H273" i="1"/>
  <c r="F169" i="1"/>
  <c r="G169" i="1" s="1"/>
  <c r="G115" i="1"/>
  <c r="G192" i="1"/>
  <c r="H192" i="1" s="1"/>
  <c r="G33" i="1"/>
  <c r="F206" i="1"/>
  <c r="G206" i="1" s="1"/>
  <c r="G237" i="1"/>
  <c r="G160" i="1"/>
  <c r="G137" i="1" l="1"/>
  <c r="G25" i="1"/>
  <c r="G42" i="1" s="1"/>
  <c r="H33" i="1"/>
  <c r="H25" i="1" s="1"/>
  <c r="H42" i="1" s="1"/>
  <c r="H120" i="1"/>
  <c r="H137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<sst xmlns="http://schemas.openxmlformats.org/spreadsheetml/2006/main" count="391" uniqueCount="166">
  <si>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</si>
  <si>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</si>
  <si>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</si>
  <si>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</si>
  <si>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</si>
  <si>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</si>
  <si>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</si>
  <si>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</si>
  <si>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</si>
  <si>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</si>
  <si>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</si>
  <si>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</si>
  <si>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</si>
  <si>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</si>
  <si>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</si>
  <si>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</si>
  <si>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</si>
  <si>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</si>
  <si>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</si>
  <si>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</si>
  <si>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</si>
  <si>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</si>
  <si>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</si>
  <si>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</si>
  <si>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</si>
  <si>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</si>
  <si>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</si>
  <si>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</si>
  <si>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</si>
  <si>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</si>
  <si>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</si>
  <si>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</si>
  <si>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</si>
  <si>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</si>
  <si>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</si>
  <si>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</si>
  <si>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</si>
  <si>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</si>
  <si>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</si>
  <si>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</si>
  <si>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</si>
  <si>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</si>
  <si>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</si>
  <si>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</si>
  <si>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</si>
  <si>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</si>
  <si>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</si>
  <si>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</si>
  <si>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</si>
  <si>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</si>
  <si>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</si>
  <si>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</si>
  <si>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</si>
  <si>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</si>
  <si>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</si>
  <si>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</si>
  <si>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</si>
  <si>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</si>
  <si>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</si>
  <si>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</si>
  <si>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</si>
  <si>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</si>
  <si>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</si>
  <si>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</si>
  <si>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</si>
  <si>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</si>
  <si>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</si>
  <si>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</si>
  <si>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</si>
  <si>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</si>
  <si>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</si>
  <si>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</si>
  <si>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</si>
  <si>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</si>
  <si>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</si>
  <si>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</si>
  <si>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</si>
  <si>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</si>
  <si>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</si>
  <si>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</si>
  <si>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</si>
  <si>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</si>
  <si>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</si>
  <si>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</si>
  <si>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</si>
  <si>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</si>
  <si>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</si>
  <si>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</si>
  <si>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</si>
  <si>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</si>
  <si>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</si>
  <si>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</si>
  <si>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</si>
  <si>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</si>
  <si>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</si>
  <si>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</si>
  <si>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</si>
  <si>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</si>
  <si>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</si>
  <si>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</si>
  <si>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</si>
  <si>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</si>
  <si>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</si>
  <si>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</si>
  <si>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</si>
  <si>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</si>
  <si>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</si>
  <si>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</si>
  <si>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</si>
  <si>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</si>
  <si>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</si>
  <si>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</si>
  <si>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</si>
  <si>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</si>
  <si>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</si>
  <si>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</si>
  <si>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</si>
  <si>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</si>
  <si>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</si>
  <si>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</si>
  <si>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</si>
  <si>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</si>
  <si>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</si>
  <si>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</si>
  <si>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</si>
  <si>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</si>
  <si>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</si>
  <si>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</si>
  <si>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</si>
  <si>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</si>
  <si>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</si>
  <si>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</si>
  <si>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</si>
  <si>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</si>
  <si>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</si>
  <si>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</si>
  <si>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</si>
  <si>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</si>
  <si>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</si>
  <si>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</si>
  <si>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</si>
  <si>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</si>
  <si>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</si>
  <si>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</si>
  <si>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</si>
  <si>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</si>
  <si>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</si>
  <si>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</si>
  <si>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</si>
  <si>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</si>
  <si>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</si>
  <si>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</si>
  <si>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</si>
  <si>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</si>
  <si>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</si>
  <si>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</si>
  <si>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</si>
  <si>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</si>
  <si>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35 tonn, men det legges til grunn at hele avsetningen tas</t>
  </si>
  <si>
    <t>4 Registrert rekreasjonsfiske utgjør 144 tonn, men det legges til grunn at hele avsetningen tas</t>
  </si>
  <si>
    <t>3 Registrert rekreasjonsfiske utgjør 588 tonn, men det legges til grunn at hele avsetningen tas</t>
  </si>
  <si>
    <t>FANGST UKE 17</t>
  </si>
  <si>
    <t>FANGST T.O.M UKE 17</t>
  </si>
  <si>
    <t>RESTKVOTER UKE 17</t>
  </si>
  <si>
    <t>FANGST T.O.M UKE 17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</si>
  <si>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206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</si>
</sst>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6" zoomScale="99" zoomScaleNormal="82" zoomScaleSheetLayoutView="100" zoomScalePageLayoutView="85" workbookViewId="0">
      <selection activeCell="J24" sqref="J24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863.86135999999999</v>
      </c>
      <c r="G22" s="27">
        <f t="shared" si="0"/>
        <v>11775.37926</v>
      </c>
      <c r="H22" s="10">
        <f>H24+H23</f>
        <v>21656.620740000002</v>
      </c>
      <c r="I22" s="10">
        <f t="shared" si="0"/>
        <v>16851.932919999999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863.86136</f>
        <v>863.86135999999999</v>
      </c>
      <c r="G23" s="22">
        <f>11481.66276</f>
        <v>11481.662759999999</v>
      </c>
      <c r="H23" s="22">
        <f>E23-G23</f>
        <v>21207.337240000001</v>
      </c>
      <c r="I23" s="22">
        <f>16619.52742</f>
        <v>16619.527419999999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0</f>
        <v>0</v>
      </c>
      <c r="G24" s="22">
        <f>293.7165</f>
        <v>293.7165</v>
      </c>
      <c r="H24" s="22">
        <f>E24-G24</f>
        <v>449.2835</v>
      </c>
      <c r="I24" s="22">
        <f>232.4055</f>
        <v>232.40549999999999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959.93590999999992</v>
      </c>
      <c r="G25" s="10">
        <f t="shared" si="1"/>
        <v>74827.826019999993</v>
      </c>
      <c r="H25" s="10">
        <f>H33+H32+H26</f>
        <v>23214.17398</v>
      </c>
      <c r="I25" s="10">
        <f t="shared" si="1"/>
        <v>89267.569930000012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616.41932999999995</v>
      </c>
      <c r="G26" s="129">
        <f>G27+G28+G29+G30+G31</f>
        <v>61945.839059999998</v>
      </c>
      <c r="H26" s="129">
        <f>H27+H28+H29+H30+H31</f>
        <v>15912.16094</v>
      </c>
      <c r="I26" s="129">
        <f t="shared" ref="I26" si="2">I27+I28+I29+I30+I31</f>
        <v>73548.411220000009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147.86672 - F53</f>
        <v>147.86671999999999</v>
      </c>
      <c r="G27" s="123">
        <f>18543.36389 - G53</f>
        <v>18543.363890000001</v>
      </c>
      <c r="H27" s="123">
        <f t="shared" ref="H27:H41" si="3">E27-G27</f>
        <v>2324.6361099999995</v>
      </c>
      <c r="I27" s="123">
        <f>20992.5829 - I53</f>
        <v>20992.582900000001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161.4134 - F54</f>
        <v>161.4134</v>
      </c>
      <c r="G28" s="123">
        <f>17777.41502 - G54</f>
        <v>17777.41502</v>
      </c>
      <c r="H28" s="123">
        <f t="shared" si="3"/>
        <v>1942.5849799999996</v>
      </c>
      <c r="I28" s="123">
        <f>20848.82202 - I54</f>
        <v>20848.82202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144.68059 - F55</f>
        <v>144.68059</v>
      </c>
      <c r="G29" s="123">
        <f>14506.26664 - G55</f>
        <v>14506.26664</v>
      </c>
      <c r="H29" s="123">
        <f t="shared" si="3"/>
        <v>3118.7333600000002</v>
      </c>
      <c r="I29" s="123">
        <f>18770.81595 - I55</f>
        <v>18770.81595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162.45862 - F56</f>
        <v>162.45862</v>
      </c>
      <c r="G30" s="123">
        <f>11118.79351 - G56</f>
        <v>11118.79351</v>
      </c>
      <c r="H30" s="123">
        <f t="shared" si="3"/>
        <v>1835.2064900000005</v>
      </c>
      <c r="I30" s="123">
        <f>12936.19035 - I56</f>
        <v>12936.190350000001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224.68486</f>
        <v>224.68485999999999</v>
      </c>
      <c r="G32" s="129">
        <f>3925.78913</f>
        <v>3925.7891300000001</v>
      </c>
      <c r="H32" s="129">
        <f t="shared" si="3"/>
        <v>6981.2108699999999</v>
      </c>
      <c r="I32" s="129">
        <f>6160.92633</f>
        <v>6160.9263300000002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118.83171999999999</v>
      </c>
      <c r="G33" s="129">
        <f>G34+G35</f>
        <v>8956.1978299999992</v>
      </c>
      <c r="H33" s="129">
        <f t="shared" si="3"/>
        <v>320.80217000000084</v>
      </c>
      <c r="I33" s="129">
        <f>I34+I35</f>
        <v>9558.2323799999995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153.83172 - F57 - F58</f>
        <v>118.83171999999999</v>
      </c>
      <c r="G34" s="129">
        <f>11132.19783 - G57 - G58</f>
        <v>8956.1978299999992</v>
      </c>
      <c r="H34" s="123">
        <f t="shared" si="3"/>
        <v>-544.19782999999916</v>
      </c>
      <c r="I34" s="123">
        <f>10974.23238 - I57 - I58</f>
        <v>9558.2323799999995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3.6632</f>
        <v>3.6631999999999998</v>
      </c>
      <c r="G36" s="136">
        <f>416.214</f>
        <v>416.214</v>
      </c>
      <c r="H36" s="136">
        <f t="shared" si="3"/>
        <v>83.786000000000001</v>
      </c>
      <c r="I36" s="136">
        <f>254.3836</f>
        <v>254.3836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14.883</f>
        <v>14.882999999999999</v>
      </c>
      <c r="G37" s="95">
        <f>512.8431</f>
        <v>512.84310000000005</v>
      </c>
      <c r="H37" s="95">
        <f t="shared" si="3"/>
        <v>367.15689999999995</v>
      </c>
      <c r="I37" s="95">
        <f>525.95809</f>
        <v>525.95808999999997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35</v>
      </c>
      <c r="G38" s="95">
        <f>G58</f>
        <v>2176</v>
      </c>
      <c r="H38" s="95">
        <f t="shared" si="3"/>
        <v>824</v>
      </c>
      <c r="I38" s="95">
        <f>I58</f>
        <v>1416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18.65654</f>
        <v>18.65654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20.5103</f>
        <v>20.510300000000001</v>
      </c>
      <c r="G40" s="95">
        <f>377.34373</f>
        <v>377.34372999999999</v>
      </c>
      <c r="H40" s="95">
        <f t="shared" si="3"/>
        <v>72.656270000000006</v>
      </c>
      <c r="I40" s="95">
        <f>311.68659</f>
        <v>311.68659000000002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53.62168</f>
        <v>53.621679999999998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1916.5103099999999</v>
      </c>
      <c r="G42" s="73">
        <f t="shared" si="4"/>
        <v>97126.989659999992</v>
      </c>
      <c r="H42" s="73">
        <f>H22+H25+H36+H37+H38+H39+H40+H41</f>
        <v>46177.010340000008</v>
      </c>
      <c r="I42" s="73">
        <f t="shared" si="4"/>
        <v>115681.15281000001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35</v>
      </c>
      <c r="G58" s="136">
        <v>2176</v>
      </c>
      <c r="H58" s="136">
        <f>E58-G58</f>
        <v>824</v>
      </c>
      <c r="I58" s="136">
        <v>1416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28879</v>
      </c>
      <c r="F79" s="10">
        <f t="shared" ref="F79:I79" si="5">F81+F80</f>
        <v>1865.5340100000001</v>
      </c>
      <c r="G79" s="10">
        <f t="shared" si="5"/>
        <v>18606.004670000002</v>
      </c>
      <c r="H79" s="10">
        <f>H81+H80</f>
        <v>10272.995329999998</v>
      </c>
      <c r="I79" s="10">
        <f t="shared" si="5"/>
        <v>17426.276100000003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28123</v>
      </c>
      <c r="F80" s="22">
        <f>1865.53401</f>
        <v>1865.5340100000001</v>
      </c>
      <c r="G80" s="22">
        <f>18213.94594</f>
        <v>18213.945940000001</v>
      </c>
      <c r="H80" s="22">
        <f>E80-G80</f>
        <v>9909.0540599999986</v>
      </c>
      <c r="I80" s="22">
        <f>17099.7079</f>
        <v>17099.707900000001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0</f>
        <v>0</v>
      </c>
      <c r="G81" s="48">
        <f>392.05873</f>
        <v>392.05873000000003</v>
      </c>
      <c r="H81" s="48">
        <f>E81-G81</f>
        <v>363.94126999999997</v>
      </c>
      <c r="I81" s="48">
        <f>326.5682</f>
        <v>326.56819999999999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50748</v>
      </c>
      <c r="F82" s="10">
        <f t="shared" ref="F82:I82" si="6">F83+F88+F89</f>
        <v>957.53947999999991</v>
      </c>
      <c r="G82" s="10">
        <f t="shared" si="6"/>
        <v>14275.12890999997</v>
      </c>
      <c r="H82" s="10">
        <f>H83+H88+H89</f>
        <v>36472.87109000003</v>
      </c>
      <c r="I82" s="10">
        <f t="shared" si="6"/>
        <v>16364.736559999988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37462</v>
      </c>
      <c r="F83" s="129">
        <f t="shared" ref="F83:I83" si="7">F84+F85+F86+F87</f>
        <v>641.28616</v>
      </c>
      <c r="G83" s="129">
        <f t="shared" si="7"/>
        <v>10493.15174999997</v>
      </c>
      <c r="H83" s="129">
        <f>H84+H85+H86+H87</f>
        <v>26968.848250000032</v>
      </c>
      <c r="I83" s="129">
        <f t="shared" si="7"/>
        <v>12754.207749999969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10382</v>
      </c>
      <c r="F84" s="123">
        <f>61.52746</f>
        <v>61.527459999999998</v>
      </c>
      <c r="G84" s="123">
        <f>2272.46498999998</f>
        <v>2272.4649899999799</v>
      </c>
      <c r="H84" s="123">
        <f t="shared" ref="H84:H93" si="8">E84-G84</f>
        <v>8109.5350100000196</v>
      </c>
      <c r="I84" s="123">
        <f>2348.30528999998</f>
        <v>2348.3052899999798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10815</v>
      </c>
      <c r="F85" s="123">
        <f>376.51248</f>
        <v>376.51247999999998</v>
      </c>
      <c r="G85" s="123">
        <f>3478.36409999999</f>
        <v>3478.3640999999898</v>
      </c>
      <c r="H85" s="123">
        <f t="shared" si="8"/>
        <v>7336.6359000000102</v>
      </c>
      <c r="I85" s="123">
        <f>3219.02048999999</f>
        <v>3219.0204899999899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9753</v>
      </c>
      <c r="F86" s="123">
        <f>84.02421</f>
        <v>84.024209999999997</v>
      </c>
      <c r="G86" s="123">
        <f>2956.17256</f>
        <v>2956.17256</v>
      </c>
      <c r="H86" s="123">
        <f t="shared" si="8"/>
        <v>6796.82744</v>
      </c>
      <c r="I86" s="123">
        <f>3782.06872</f>
        <v>3782.0687200000002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6512</v>
      </c>
      <c r="F87" s="123">
        <f>119.22201</f>
        <v>119.22201</v>
      </c>
      <c r="G87" s="123">
        <f>1786.1501</f>
        <v>1786.1501000000001</v>
      </c>
      <c r="H87" s="123">
        <f t="shared" si="8"/>
        <v>4725.8499000000002</v>
      </c>
      <c r="I87" s="123">
        <f>3404.81325</f>
        <v>3404.8132500000002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9205</v>
      </c>
      <c r="F88" s="129">
        <f>293.1773</f>
        <v>293.1773</v>
      </c>
      <c r="G88" s="129">
        <f>2624.01697</f>
        <v>2624.0169700000001</v>
      </c>
      <c r="H88" s="129">
        <f t="shared" si="8"/>
        <v>6580.9830299999994</v>
      </c>
      <c r="I88" s="129">
        <f>2632.33401</f>
        <v>2632.33401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4081</v>
      </c>
      <c r="F89" s="72">
        <f>23.07602</f>
        <v>23.07602</v>
      </c>
      <c r="G89" s="72">
        <f>1157.96019</f>
        <v>1157.96019</v>
      </c>
      <c r="H89" s="72">
        <f t="shared" si="8"/>
        <v>2923.0398100000002</v>
      </c>
      <c r="I89" s="72">
        <f>978.194800000019</f>
        <v>978.19480000001897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0.13846</f>
        <v>0.13846</v>
      </c>
      <c r="G90" s="95">
        <f>11.38258</f>
        <v>11.382580000000001</v>
      </c>
      <c r="H90" s="95">
        <f t="shared" si="8"/>
        <v>307.61741999999998</v>
      </c>
      <c r="I90" s="95">
        <f>26.91693</f>
        <v>26.916930000000001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0.39093</f>
        <v>0.39093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0.04138</f>
        <v>4.138E-2</v>
      </c>
      <c r="G92" s="95">
        <f>3.18893</f>
        <v>3.18893</v>
      </c>
      <c r="H92" s="136">
        <f t="shared" si="8"/>
        <v>46.811070000000001</v>
      </c>
      <c r="I92" s="95">
        <f>9.81222</f>
        <v>9.8122199999999999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8.6115</f>
        <v>8.6114999999999995</v>
      </c>
      <c r="H93" s="136">
        <f t="shared" si="8"/>
        <v>-8.6114999999999995</v>
      </c>
      <c r="I93" s="136">
        <f>5.1777</f>
        <v>5.1776999999999997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80296</v>
      </c>
      <c r="F94" s="73">
        <f t="shared" ref="F94:I94" si="10">F79+F82+F90+F91+F92+F93</f>
        <v>2823.64426</v>
      </c>
      <c r="G94" s="73">
        <f t="shared" si="10"/>
        <v>33204.316589999966</v>
      </c>
      <c r="H94" s="73">
        <f>H79+H82+H90+H91+H92+H93</f>
        <v>47091.683410000034</v>
      </c>
      <c r="I94" s="73">
        <f t="shared" si="10"/>
        <v>34132.919509999992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549.99725999999998</v>
      </c>
      <c r="G115" s="10">
        <f t="shared" si="11"/>
        <v>15231.374459999999</v>
      </c>
      <c r="H115" s="10">
        <f t="shared" si="11"/>
        <v>39014.625540000001</v>
      </c>
      <c r="I115" s="10">
        <f t="shared" si="11"/>
        <v>26055.506939999999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549.84726</f>
        <v>549.84726000000001</v>
      </c>
      <c r="G116" s="22">
        <f>13116.90771</f>
        <v>13116.907709999999</v>
      </c>
      <c r="H116" s="22">
        <f>E116-G116</f>
        <v>30280.092290000001</v>
      </c>
      <c r="I116" s="22">
        <f>23136.39784</f>
        <v>23136.397840000001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2041.97675</f>
        <v>2041.97675</v>
      </c>
      <c r="H117" s="22">
        <f>E117-G117</f>
        <v>8307.0232500000002</v>
      </c>
      <c r="I117" s="22">
        <f>2853.7515</f>
        <v>2853.7514999999999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0.15</f>
        <v>0.15</v>
      </c>
      <c r="G118" s="22">
        <f>72.49</f>
        <v>72.489999999999995</v>
      </c>
      <c r="H118" s="53">
        <f>E118-G118</f>
        <v>427.51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1262.513</f>
        <v>1262.5129999999999</v>
      </c>
      <c r="G119" s="92">
        <f>3478.368+183.9705+21.8318</f>
        <v>3684.1702999999998</v>
      </c>
      <c r="H119" s="92">
        <f>E119-G119</f>
        <v>32968.829700000002</v>
      </c>
      <c r="I119" s="92">
        <f>68.425</f>
        <v>68.424999999999997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462.02288999999996</v>
      </c>
      <c r="G120" s="91">
        <f t="shared" ref="G120" si="12">G121+G126+G129</f>
        <v>18884.103000000014</v>
      </c>
      <c r="H120" s="91">
        <f>H121+H126+H129</f>
        <v>38225.896999999983</v>
      </c>
      <c r="I120" s="91">
        <f>I121+I126+I129</f>
        <v>32685.658209999991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407.20632999999998</v>
      </c>
      <c r="G121" s="121">
        <f>G122+G123+G125+G124</f>
        <v>14427.445070000012</v>
      </c>
      <c r="H121" s="121">
        <f>H122+H123+H124+H125</f>
        <v>28754.554929999988</v>
      </c>
      <c r="I121" s="121">
        <f>I122+I123+I124+I125</f>
        <v>24417.852229999979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89.90693</f>
        <v>89.906930000000003</v>
      </c>
      <c r="G122" s="123">
        <f>3958.56715</f>
        <v>3958.5671499999999</v>
      </c>
      <c r="H122" s="123">
        <f>E122-G122</f>
        <v>7517.4328500000001</v>
      </c>
      <c r="I122" s="123">
        <f>5350.64256</f>
        <v>5350.6425600000002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58.58085</f>
        <v>58.580849999999998</v>
      </c>
      <c r="G123" s="123">
        <f>4578.71799000001</f>
        <v>4578.7179900000101</v>
      </c>
      <c r="H123" s="123">
        <f>E123-G123</f>
        <v>7256.2820099999899</v>
      </c>
      <c r="I123" s="123">
        <f>7436.86238999998</f>
        <v>7436.8623899999802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64.16365</f>
        <v>64.163650000000004</v>
      </c>
      <c r="G124" s="123">
        <f>3104.13103-21.8318</f>
        <v>3082.2992300000001</v>
      </c>
      <c r="H124" s="123">
        <f>E124-G124</f>
        <v>7390.7007699999995</v>
      </c>
      <c r="I124" s="123">
        <f>5489.10875</f>
        <v>5489.1087500000003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194.5549</f>
        <v>194.5549</v>
      </c>
      <c r="G125" s="123">
        <f>2991.8312-183.9705</f>
        <v>2807.8607000000002</v>
      </c>
      <c r="H125" s="123">
        <f>E125-G125</f>
        <v>6590.1392999999998</v>
      </c>
      <c r="I125" s="123">
        <f>6141.23853</f>
        <v>6141.2385299999996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2.64486</v>
      </c>
      <c r="G126" s="129">
        <f>SUM(G127:G128)</f>
        <v>1833.2098100000001</v>
      </c>
      <c r="H126" s="129">
        <f>H127+H128</f>
        <v>4294.7901899999997</v>
      </c>
      <c r="I126" s="129">
        <f>SUM(I127:I128)</f>
        <v>5697.8226800000002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0.38511</f>
        <v>0.38511000000000001</v>
      </c>
      <c r="G127" s="123">
        <f>1667.19064</f>
        <v>1667.19064</v>
      </c>
      <c r="H127" s="123">
        <f t="shared" ref="H127:H135" si="13">E127-G127</f>
        <v>3960.8093600000002</v>
      </c>
      <c r="I127" s="123">
        <f>5584.21421</f>
        <v>5584.2142100000001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2.25975</f>
        <v>2.2597499999999999</v>
      </c>
      <c r="G128" s="123">
        <f>166.01917</f>
        <v>166.01917</v>
      </c>
      <c r="H128" s="123">
        <f t="shared" si="13"/>
        <v>333.98082999999997</v>
      </c>
      <c r="I128" s="123">
        <f>113.60847</f>
        <v>113.60847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52.1717</f>
        <v>52.171700000000001</v>
      </c>
      <c r="G129" s="72">
        <f>2623.44812</f>
        <v>2623.44812</v>
      </c>
      <c r="H129" s="72">
        <f t="shared" si="13"/>
        <v>5176.55188</v>
      </c>
      <c r="I129" s="72">
        <f>2569.98330000001</f>
        <v>2569.9833000000099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0.05535</f>
        <v>5.5350000000000003E-2</v>
      </c>
      <c r="G130" s="136">
        <f>12.65878</f>
        <v>12.65878</v>
      </c>
      <c r="H130" s="136">
        <f t="shared" si="13"/>
        <v>143.34121999999999</v>
      </c>
      <c r="I130" s="136">
        <f>15.0969</f>
        <v>15.0969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4.22706</f>
        <v>4.2270599999999998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0.18725</f>
        <v>0.18725</v>
      </c>
      <c r="G134" s="95">
        <f>4.52133</f>
        <v>4.5213299999999998</v>
      </c>
      <c r="H134" s="136">
        <f t="shared" si="13"/>
        <v>250.47866999999999</v>
      </c>
      <c r="I134" s="95">
        <f>78.5481</f>
        <v>78.548100000000005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74.77426</f>
        <v>74.774259999999998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2279.0028100000004</v>
      </c>
      <c r="G137" s="73">
        <f>G115+G119+G120+G130+G131+G132+G133+G134+G135</f>
        <v>39881.247620000009</v>
      </c>
      <c r="H137" s="73">
        <f>H115+H119+H120+H130+H131+H132+H133+H134+H135</f>
        <v>110888.75237999999</v>
      </c>
      <c r="I137" s="73">
        <f>I115+I119+I120+I130+I131+I132+I133+I134+I135</f>
        <v>60978.009409999984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14.1287</f>
        <v>14.1287</v>
      </c>
      <c r="F160" s="301">
        <f>493.688639999999</f>
        <v>493.688639999999</v>
      </c>
      <c r="G160" s="42">
        <f>D160-F160-F161</f>
        <v>2837.1534800000009</v>
      </c>
      <c r="H160" s="301">
        <f>384.09566</f>
        <v>384.09566000000001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55.20686</f>
        <v>55.206859999999999</v>
      </c>
      <c r="F161" s="148">
        <f>423.15788</f>
        <v>423.15787999999998</v>
      </c>
      <c r="G161" s="219"/>
      <c r="H161" s="148">
        <f>528.6483</f>
        <v>528.64829999999995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20.39606</f>
        <v>20.396059999999999</v>
      </c>
      <c r="G162" s="166">
        <f>D162-F162</f>
        <v>179.60393999999999</v>
      </c>
      <c r="H162" s="166">
        <f>46.74041</f>
        <v>46.740409999999997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8.0006799999999991</v>
      </c>
      <c r="F163" s="175">
        <f>F164+F165+F166</f>
        <v>115.02369999999999</v>
      </c>
      <c r="G163" s="175">
        <f>D163-F163</f>
        <v>5514.9763000000003</v>
      </c>
      <c r="H163" s="175">
        <f>H164+H165+H166</f>
        <v>110.9907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1.4567</f>
        <v>1.4567000000000001</v>
      </c>
      <c r="F164" s="123">
        <f>42.22642</f>
        <v>42.226419999999997</v>
      </c>
      <c r="G164" s="123"/>
      <c r="H164" s="123">
        <f>36.38622</f>
        <v>36.386220000000002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1.707</f>
        <v>1.7070000000000001</v>
      </c>
      <c r="F165" s="123">
        <f>48.67642</f>
        <v>48.67642</v>
      </c>
      <c r="G165" s="123"/>
      <c r="H165" s="123">
        <f>39.80578</f>
        <v>39.805779999999999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4.83698</f>
        <v>4.8369799999999996</v>
      </c>
      <c r="F166" s="186">
        <f>24.12086</f>
        <v>24.12086</v>
      </c>
      <c r="G166" s="186"/>
      <c r="H166" s="186">
        <f>34.7987</f>
        <v>34.798699999999997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77.336240000000004</v>
      </c>
      <c r="F169" s="188">
        <f>F160+F161+F162+F163+F167+F168</f>
        <v>1052.7422399999989</v>
      </c>
      <c r="G169" s="188">
        <f>D169-F169</f>
        <v>8622.2577600000004</v>
      </c>
      <c r="H169" s="188">
        <f>H160+H161+H162+H163+H167+H168</f>
        <v>1070.47507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128.83267</f>
        <v>128.83267000000001</v>
      </c>
      <c r="G189" s="124">
        <f>15185.73034</f>
        <v>15185.73034</v>
      </c>
      <c r="H189" s="124">
        <f>E189-G189</f>
        <v>27554.269659999998</v>
      </c>
      <c r="I189" s="124">
        <f>17422.75709</f>
        <v>17422.757089999999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0.346</f>
        <v>0.34599999999999997</v>
      </c>
      <c r="G190" s="124">
        <f>4.08762</f>
        <v>4.0876200000000003</v>
      </c>
      <c r="H190" s="124">
        <f>E190-G190</f>
        <v>95.912379999999999</v>
      </c>
      <c r="I190" s="124">
        <f>6.24094</f>
        <v>6.2409400000000002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129.17867000000001</v>
      </c>
      <c r="G192" s="190">
        <f>SUM(G189:G191)</f>
        <v>15189.81796</v>
      </c>
      <c r="H192" s="190">
        <f>E192-G192</f>
        <v>27696.18204</v>
      </c>
      <c r="I192" s="190">
        <f>SUM(I189:I191)</f>
        <v>17428.998029999999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53.81438</v>
      </c>
      <c r="F202" s="72">
        <f>F203+F204</f>
        <v>2208.6164199999989</v>
      </c>
      <c r="G202" s="72">
        <f>D202-F202</f>
        <v>993.38358000000107</v>
      </c>
      <c r="H202" s="72">
        <f>H203+H204</f>
        <v>1554.3896300000001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42.87398</f>
        <v>42.873980000000003</v>
      </c>
      <c r="F203" s="72">
        <f>1722.7051</f>
        <v>1722.7050999999999</v>
      </c>
      <c r="G203" s="72"/>
      <c r="H203" s="72">
        <f>1092.75385</f>
        <v>1092.7538500000001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10.9404</f>
        <v>10.9404</v>
      </c>
      <c r="F204" s="124">
        <f>485.911319999999</f>
        <v>485.91131999999902</v>
      </c>
      <c r="G204" s="168"/>
      <c r="H204" s="124">
        <f>461.63578</f>
        <v>461.63578000000001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194.64938</f>
        <v>194.64938000000001</v>
      </c>
      <c r="F205" s="72">
        <f>1952.89352</f>
        <v>1952.8935200000001</v>
      </c>
      <c r="G205" s="72">
        <f>D205-F205</f>
        <v>1751.1064799999999</v>
      </c>
      <c r="H205" s="72">
        <f>1955.73123</f>
        <v>1955.7312300000001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248.46376000000001</v>
      </c>
      <c r="F206" s="190">
        <f>SUM(F202,F205)</f>
        <v>4161.509939999999</v>
      </c>
      <c r="G206" s="190">
        <f>D206-F206</f>
        <v>2744.490060000001</v>
      </c>
      <c r="H206" s="190">
        <f>SUM(H202,H205)</f>
        <v>3510.12086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154.36091999999999</v>
      </c>
      <c r="F215" s="72">
        <f>F216+F217</f>
        <v>2890.2675299999987</v>
      </c>
      <c r="G215" s="72">
        <f>D215-F215</f>
        <v>2625.7324700000013</v>
      </c>
      <c r="H215" s="72">
        <f>H216+H217</f>
        <v>1559.5988399999999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148.98716</f>
        <v>148.98715999999999</v>
      </c>
      <c r="F216" s="72">
        <f>2619.47952</f>
        <v>2619.4795199999999</v>
      </c>
      <c r="G216" s="72"/>
      <c r="H216" s="72">
        <f>1310.7801</f>
        <v>1310.7800999999999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5.37376</f>
        <v>5.3737599999999999</v>
      </c>
      <c r="F217" s="124">
        <f>270.788009999999</f>
        <v>270.78800999999902</v>
      </c>
      <c r="G217" s="168"/>
      <c r="H217" s="124">
        <f>248.81874</f>
        <v>248.81873999999999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82.9734</f>
        <v>82.973399999999998</v>
      </c>
      <c r="F218" s="72">
        <f>1590.68085</f>
        <v>1590.68085</v>
      </c>
      <c r="G218" s="72">
        <f>D218-F218</f>
        <v>1641.31915</v>
      </c>
      <c r="H218" s="72">
        <f>1086.46245000002</f>
        <v>1086.46245000002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237.33431999999999</v>
      </c>
      <c r="F219" s="190">
        <f>SUM(F215,F218)</f>
        <v>4480.9483799999989</v>
      </c>
      <c r="G219" s="190">
        <f>D219-F219</f>
        <v>4267.0516200000011</v>
      </c>
      <c r="H219" s="190">
        <f>SUM(H215,H218)</f>
        <v>2646.0612900000197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4.54962</f>
        <v>4.54962</v>
      </c>
      <c r="F237" s="124">
        <f>59.4589700000001</f>
        <v>59.4589700000001</v>
      </c>
      <c r="G237" s="124">
        <f>D237-F237</f>
        <v>740.54102999999986</v>
      </c>
      <c r="H237" s="124">
        <f>149.41491</f>
        <v>149.41490999999999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10.15687</f>
        <v>10.15687</v>
      </c>
      <c r="F238" s="124">
        <f>167.309579999999</f>
        <v>167.30957999999899</v>
      </c>
      <c r="G238" s="124">
        <f>D238-F238</f>
        <v>538.69042000000104</v>
      </c>
      <c r="H238" s="124">
        <f>260.965429999999</f>
        <v>260.965429999999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0.075</f>
        <v>7.4999999999999997E-2</v>
      </c>
      <c r="G240" s="124">
        <f>D240-F240</f>
        <v>-7.4999999999999997E-2</v>
      </c>
      <c r="H240" s="168">
        <f>0.0239</f>
        <v>2.3900000000000001E-2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14.706489999999999</v>
      </c>
      <c r="F241" s="190">
        <f>SUM(F237:F240)</f>
        <v>226.88854999999907</v>
      </c>
      <c r="G241" s="190">
        <f>D241-F241</f>
        <v>1289.111450000001</v>
      </c>
      <c r="H241" s="190">
        <f>H237+H238+H239+H240</f>
        <v>410.45837999999907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185.22809000000001</v>
      </c>
      <c r="G262" s="280">
        <f t="shared" si="15"/>
        <v>1205.00359</v>
      </c>
      <c r="H262" s="280">
        <f>H266+H265+H264+H263</f>
        <v>17634.99641</v>
      </c>
      <c r="I262" s="280">
        <f t="shared" si="15"/>
        <v>2288.70768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78.22729</f>
        <v>78.227289999999996</v>
      </c>
      <c r="G263" s="284">
        <f>258.76306</f>
        <v>258.76306</v>
      </c>
      <c r="H263" s="284">
        <f t="shared" ref="H263:H268" si="16">E263-G263</f>
        <v>9916.2369400000007</v>
      </c>
      <c r="I263" s="284">
        <f>711.97967</f>
        <v>711.97967000000006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390.3525</f>
        <v>390.35250000000002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36.5788</f>
        <v>36.578800000000001</v>
      </c>
      <c r="G265" s="284">
        <f>619.96077</f>
        <v>619.96077000000002</v>
      </c>
      <c r="H265" s="284">
        <f t="shared" si="16"/>
        <v>787.03922999999998</v>
      </c>
      <c r="I265" s="284">
        <f>636.07832</f>
        <v>636.07831999999996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70.422</f>
        <v>70.421999999999997</v>
      </c>
      <c r="G266" s="284">
        <f>290.63976</f>
        <v>290.63976000000002</v>
      </c>
      <c r="H266" s="284">
        <f t="shared" si="16"/>
        <v>4318.36024</v>
      </c>
      <c r="I266" s="284">
        <f>550.29719</f>
        <v>550.29719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58.367</f>
        <v>58.366999999999997</v>
      </c>
      <c r="G267" s="294">
        <f>696.465</f>
        <v>696.46500000000003</v>
      </c>
      <c r="H267" s="294">
        <f t="shared" si="16"/>
        <v>4803.5349999999999</v>
      </c>
      <c r="I267" s="294">
        <f>742.21164</f>
        <v>742.21163999999999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16.474810000000002</v>
      </c>
      <c r="G268" s="295">
        <f>G270+G269</f>
        <v>880.9632600000009</v>
      </c>
      <c r="H268" s="295">
        <f t="shared" si="16"/>
        <v>7119.0367399999996</v>
      </c>
      <c r="I268" s="295">
        <f>I270+I269</f>
        <v>1088.6367200000011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328.72877</f>
        <v>328.72877</v>
      </c>
      <c r="H269" s="284"/>
      <c r="I269" s="284">
        <f>447.26843</f>
        <v>447.26843000000002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16.47481</f>
        <v>16.474810000000002</v>
      </c>
      <c r="G270" s="303">
        <f>552.234490000001</f>
        <v>552.23449000000096</v>
      </c>
      <c r="H270" s="303"/>
      <c r="I270" s="303">
        <f>641.368290000001</f>
        <v>641.36829000000102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0.1278</f>
        <v>0.1278</v>
      </c>
      <c r="G272" s="294">
        <f>4.20927</f>
        <v>4.2092700000000001</v>
      </c>
      <c r="H272" s="294">
        <f>E272-G272</f>
        <v>-4.2092700000000001</v>
      </c>
      <c r="I272" s="294">
        <f>4.01252</f>
        <v>4.0125200000000003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260.1977</v>
      </c>
      <c r="G273" s="312">
        <f t="shared" si="17"/>
        <v>2786.6411200000007</v>
      </c>
      <c r="H273" s="312">
        <f>H262+H267+H268+H271+H272</f>
        <v>29566.35888</v>
      </c>
      <c r="I273" s="312">
        <f t="shared" si="17"/>
        <v>4123.5820600000015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928.6079299999999</v>
      </c>
      <c r="G294" s="82">
        <f>D294-F294</f>
        <v>-149.6079299999999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687.69675</f>
        <v>687.69674999999995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646.34609999999998</v>
      </c>
      <c r="G297" s="82">
        <f>D297-F297</f>
        <v>132.65390000000002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507.218</f>
        <v>507.21800000000002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40.323900000000002</v>
      </c>
      <c r="F300" s="34">
        <f>SUM(F301:F302)</f>
        <v>337.30099000000001</v>
      </c>
      <c r="G300" s="82">
        <f>D300-F300</f>
        <v>442.69900999999999</v>
      </c>
      <c r="H300" s="34">
        <f>SUM(H301:H302)</f>
        <v>468.76533000000001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29.8455</f>
        <v>29.845500000000001</v>
      </c>
      <c r="F301" s="29">
        <f>247.46804</f>
        <v>247.46804</v>
      </c>
      <c r="G301" s="94"/>
      <c r="H301" s="29">
        <f>314.44934</f>
        <v>314.44934000000001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10.4784</f>
        <v>10.478400000000001</v>
      </c>
      <c r="F302" s="29">
        <f>89.83295</f>
        <v>89.832949999999997</v>
      </c>
      <c r="G302" s="105"/>
      <c r="H302" s="29">
        <f>154.31599</f>
        <v>154.31599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40.323900000000002</v>
      </c>
      <c r="F304" s="39">
        <f>F294+F297+F300+F303</f>
        <v>1912.2550199999998</v>
      </c>
      <c r="G304" s="40">
        <f>D304-F304</f>
        <v>425.74498000000017</v>
      </c>
      <c r="H304" s="39">
        <f>H294+H297+H300+H303</f>
        <v>2483.2824599999999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133</v>
      </c>
      <c r="D322" s="237">
        <v>238</v>
      </c>
      <c r="E322" s="29">
        <f>24.49801</f>
        <v>24.498010000000001</v>
      </c>
      <c r="F322" s="29">
        <f>90.3558999999998</f>
        <v>90.355899999999806</v>
      </c>
      <c r="G322" s="238">
        <f>D322-F322</f>
        <v>147.64410000000021</v>
      </c>
      <c r="H322" s="29">
        <f>74.7144999999998</f>
        <v>74.714499999999802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11.03803</f>
        <v>11.038029999999999</v>
      </c>
      <c r="F323" s="29">
        <f>218.78755</f>
        <v>218.78755000000001</v>
      </c>
      <c r="G323" s="241">
        <f>D323-F323</f>
        <v>21018.212449999999</v>
      </c>
      <c r="H323" s="29">
        <f>203.184770000001</f>
        <v>203.18477000000101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35.53604</v>
      </c>
      <c r="F324" s="39">
        <f>F323+F322</f>
        <v>309.1434499999998</v>
      </c>
      <c r="G324" s="39">
        <f>G323+G322</f>
        <v>21165.85655</v>
      </c>
      <c r="H324" s="39">
        <f>H323+H322</f>
        <v>277.8992700000008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17&amp;R27.04.2026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2026-04-28T09:21:19Z</dcterms:modified>
</cp:coreProperties>
</file>