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8_{516EEBFF-B2CB-4A0F-A204-F3A477DCE0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5" i="1" l="1"/>
  <c r="G345" i="1"/>
  <c r="F345" i="1"/>
  <c r="E345" i="1"/>
  <c r="D345" i="1"/>
  <c r="G344" i="1"/>
  <c r="G343" i="1"/>
  <c r="E336" i="1"/>
  <c r="H324" i="1"/>
  <c r="F324" i="1"/>
  <c r="D324" i="1"/>
  <c r="H323" i="1"/>
  <c r="F323" i="1"/>
  <c r="G323" i="1" s="1"/>
  <c r="G324" i="1" s="1"/>
  <c r="E323" i="1"/>
  <c r="E324" i="1" s="1"/>
  <c r="H322" i="1"/>
  <c r="G322" i="1"/>
  <c r="F322" i="1"/>
  <c r="E322" i="1"/>
  <c r="E315" i="1"/>
  <c r="D304" i="1"/>
  <c r="H303" i="1"/>
  <c r="F303" i="1"/>
  <c r="G303" i="1" s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F294" i="1" s="1"/>
  <c r="E295" i="1"/>
  <c r="E294" i="1" s="1"/>
  <c r="E304" i="1" s="1"/>
  <c r="H294" i="1"/>
  <c r="H304" i="1" s="1"/>
  <c r="D273" i="1"/>
  <c r="I272" i="1"/>
  <c r="G272" i="1"/>
  <c r="H272" i="1" s="1"/>
  <c r="F272" i="1"/>
  <c r="I271" i="1"/>
  <c r="G271" i="1"/>
  <c r="H271" i="1" s="1"/>
  <c r="F271" i="1"/>
  <c r="I270" i="1"/>
  <c r="G270" i="1"/>
  <c r="F270" i="1"/>
  <c r="F268" i="1" s="1"/>
  <c r="I269" i="1"/>
  <c r="G269" i="1"/>
  <c r="G268" i="1" s="1"/>
  <c r="H268" i="1" s="1"/>
  <c r="F269" i="1"/>
  <c r="I268" i="1"/>
  <c r="I267" i="1"/>
  <c r="G267" i="1"/>
  <c r="H267" i="1" s="1"/>
  <c r="F267" i="1"/>
  <c r="I266" i="1"/>
  <c r="G266" i="1"/>
  <c r="H266" i="1" s="1"/>
  <c r="F266" i="1"/>
  <c r="I265" i="1"/>
  <c r="I262" i="1" s="1"/>
  <c r="I273" i="1" s="1"/>
  <c r="G265" i="1"/>
  <c r="G262" i="1" s="1"/>
  <c r="G273" i="1" s="1"/>
  <c r="F265" i="1"/>
  <c r="I264" i="1"/>
  <c r="G264" i="1"/>
  <c r="H264" i="1" s="1"/>
  <c r="F264" i="1"/>
  <c r="I263" i="1"/>
  <c r="G263" i="1"/>
  <c r="H263" i="1" s="1"/>
  <c r="F263" i="1"/>
  <c r="F262" i="1"/>
  <c r="F273" i="1" s="1"/>
  <c r="E262" i="1"/>
  <c r="E273" i="1" s="1"/>
  <c r="D262" i="1"/>
  <c r="H254" i="1"/>
  <c r="F254" i="1"/>
  <c r="D251" i="1"/>
  <c r="D250" i="1"/>
  <c r="F241" i="1"/>
  <c r="D241" i="1"/>
  <c r="G241" i="1" s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H241" i="1" s="1"/>
  <c r="G237" i="1"/>
  <c r="F237" i="1"/>
  <c r="E237" i="1"/>
  <c r="E241" i="1" s="1"/>
  <c r="D230" i="1"/>
  <c r="D219" i="1"/>
  <c r="H218" i="1"/>
  <c r="G218" i="1"/>
  <c r="F218" i="1"/>
  <c r="E218" i="1"/>
  <c r="H217" i="1"/>
  <c r="F217" i="1"/>
  <c r="F215" i="1" s="1"/>
  <c r="E217" i="1"/>
  <c r="H216" i="1"/>
  <c r="H215" i="1" s="1"/>
  <c r="H219" i="1" s="1"/>
  <c r="F216" i="1"/>
  <c r="E216" i="1"/>
  <c r="E215" i="1" s="1"/>
  <c r="E219" i="1" s="1"/>
  <c r="D206" i="1"/>
  <c r="H205" i="1"/>
  <c r="F205" i="1"/>
  <c r="G205" i="1" s="1"/>
  <c r="E205" i="1"/>
  <c r="H204" i="1"/>
  <c r="H202" i="1" s="1"/>
  <c r="H206" i="1" s="1"/>
  <c r="F204" i="1"/>
  <c r="E204" i="1"/>
  <c r="E202" i="1" s="1"/>
  <c r="E206" i="1" s="1"/>
  <c r="H203" i="1"/>
  <c r="F203" i="1"/>
  <c r="E203" i="1"/>
  <c r="F202" i="1"/>
  <c r="G202" i="1" s="1"/>
  <c r="I192" i="1"/>
  <c r="E192" i="1"/>
  <c r="D192" i="1"/>
  <c r="I191" i="1"/>
  <c r="G191" i="1"/>
  <c r="H191" i="1" s="1"/>
  <c r="F191" i="1"/>
  <c r="I190" i="1"/>
  <c r="G190" i="1"/>
  <c r="H190" i="1" s="1"/>
  <c r="F190" i="1"/>
  <c r="I189" i="1"/>
  <c r="G189" i="1"/>
  <c r="G192" i="1" s="1"/>
  <c r="F189" i="1"/>
  <c r="F192" i="1" s="1"/>
  <c r="D169" i="1"/>
  <c r="H168" i="1"/>
  <c r="G168" i="1"/>
  <c r="F168" i="1"/>
  <c r="E168" i="1"/>
  <c r="H167" i="1"/>
  <c r="F167" i="1"/>
  <c r="G167" i="1" s="1"/>
  <c r="E167" i="1"/>
  <c r="H166" i="1"/>
  <c r="F166" i="1"/>
  <c r="E166" i="1"/>
  <c r="H165" i="1"/>
  <c r="F165" i="1"/>
  <c r="E165" i="1"/>
  <c r="H164" i="1"/>
  <c r="F164" i="1"/>
  <c r="F163" i="1" s="1"/>
  <c r="G163" i="1" s="1"/>
  <c r="E164" i="1"/>
  <c r="E163" i="1" s="1"/>
  <c r="H163" i="1"/>
  <c r="H162" i="1"/>
  <c r="F162" i="1"/>
  <c r="G162" i="1" s="1"/>
  <c r="E162" i="1"/>
  <c r="H161" i="1"/>
  <c r="H169" i="1" s="1"/>
  <c r="F161" i="1"/>
  <c r="E161" i="1"/>
  <c r="H160" i="1"/>
  <c r="F160" i="1"/>
  <c r="E160" i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G127" i="1"/>
  <c r="H127" i="1" s="1"/>
  <c r="H126" i="1" s="1"/>
  <c r="F127" i="1"/>
  <c r="F126" i="1" s="1"/>
  <c r="F120" i="1" s="1"/>
  <c r="I126" i="1"/>
  <c r="G126" i="1"/>
  <c r="E126" i="1"/>
  <c r="D126" i="1"/>
  <c r="I125" i="1"/>
  <c r="G125" i="1"/>
  <c r="G121" i="1" s="1"/>
  <c r="G120" i="1" s="1"/>
  <c r="F125" i="1"/>
  <c r="I124" i="1"/>
  <c r="G124" i="1"/>
  <c r="H124" i="1" s="1"/>
  <c r="F124" i="1"/>
  <c r="I123" i="1"/>
  <c r="G123" i="1"/>
  <c r="H123" i="1" s="1"/>
  <c r="F123" i="1"/>
  <c r="I122" i="1"/>
  <c r="I121" i="1" s="1"/>
  <c r="I120" i="1" s="1"/>
  <c r="G122" i="1"/>
  <c r="H122" i="1" s="1"/>
  <c r="F122" i="1"/>
  <c r="F121" i="1"/>
  <c r="E121" i="1"/>
  <c r="E120" i="1" s="1"/>
  <c r="D121" i="1"/>
  <c r="D120" i="1"/>
  <c r="I119" i="1"/>
  <c r="G119" i="1"/>
  <c r="H119" i="1" s="1"/>
  <c r="F119" i="1"/>
  <c r="I118" i="1"/>
  <c r="G118" i="1"/>
  <c r="H118" i="1" s="1"/>
  <c r="F118" i="1"/>
  <c r="I117" i="1"/>
  <c r="G117" i="1"/>
  <c r="H117" i="1" s="1"/>
  <c r="F117" i="1"/>
  <c r="I116" i="1"/>
  <c r="G116" i="1"/>
  <c r="G115" i="1" s="1"/>
  <c r="G137" i="1" s="1"/>
  <c r="F116" i="1"/>
  <c r="F115" i="1" s="1"/>
  <c r="F137" i="1" s="1"/>
  <c r="I115" i="1"/>
  <c r="I137" i="1" s="1"/>
  <c r="E115" i="1"/>
  <c r="D115" i="1"/>
  <c r="D137" i="1" s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H83" i="1" s="1"/>
  <c r="H82" i="1" s="1"/>
  <c r="G85" i="1"/>
  <c r="F85" i="1"/>
  <c r="F83" i="1" s="1"/>
  <c r="F82" i="1" s="1"/>
  <c r="I84" i="1"/>
  <c r="H84" i="1"/>
  <c r="G84" i="1"/>
  <c r="F84" i="1"/>
  <c r="I83" i="1"/>
  <c r="I82" i="1" s="1"/>
  <c r="G83" i="1"/>
  <c r="E83" i="1"/>
  <c r="D83" i="1"/>
  <c r="G82" i="1"/>
  <c r="E82" i="1"/>
  <c r="D82" i="1"/>
  <c r="I81" i="1"/>
  <c r="H81" i="1"/>
  <c r="G81" i="1"/>
  <c r="F81" i="1"/>
  <c r="I80" i="1"/>
  <c r="I79" i="1" s="1"/>
  <c r="I94" i="1" s="1"/>
  <c r="H80" i="1"/>
  <c r="H79" i="1" s="1"/>
  <c r="H94" i="1" s="1"/>
  <c r="G80" i="1"/>
  <c r="G79" i="1" s="1"/>
  <c r="G94" i="1" s="1"/>
  <c r="F80" i="1"/>
  <c r="F79" i="1" s="1"/>
  <c r="E79" i="1"/>
  <c r="E94" i="1" s="1"/>
  <c r="D79" i="1"/>
  <c r="D94" i="1" s="1"/>
  <c r="C76" i="1"/>
  <c r="H72" i="1"/>
  <c r="F72" i="1"/>
  <c r="D72" i="1"/>
  <c r="H58" i="1"/>
  <c r="H57" i="1"/>
  <c r="I52" i="1"/>
  <c r="I31" i="1" s="1"/>
  <c r="H52" i="1"/>
  <c r="G52" i="1"/>
  <c r="G31" i="1" s="1"/>
  <c r="F52" i="1"/>
  <c r="F31" i="1" s="1"/>
  <c r="I41" i="1"/>
  <c r="H41" i="1"/>
  <c r="G41" i="1"/>
  <c r="F41" i="1"/>
  <c r="I40" i="1"/>
  <c r="G40" i="1"/>
  <c r="H40" i="1" s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H35" i="1"/>
  <c r="G35" i="1"/>
  <c r="F35" i="1"/>
  <c r="I34" i="1"/>
  <c r="G34" i="1"/>
  <c r="G33" i="1" s="1"/>
  <c r="F34" i="1"/>
  <c r="F33" i="1" s="1"/>
  <c r="I33" i="1"/>
  <c r="E33" i="1"/>
  <c r="D33" i="1"/>
  <c r="I32" i="1"/>
  <c r="H32" i="1"/>
  <c r="G32" i="1"/>
  <c r="F32" i="1"/>
  <c r="I30" i="1"/>
  <c r="G30" i="1"/>
  <c r="H30" i="1" s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E26" i="1"/>
  <c r="D26" i="1"/>
  <c r="E25" i="1"/>
  <c r="D25" i="1"/>
  <c r="I24" i="1"/>
  <c r="H24" i="1"/>
  <c r="G24" i="1"/>
  <c r="F24" i="1"/>
  <c r="F22" i="1" s="1"/>
  <c r="I23" i="1"/>
  <c r="I22" i="1" s="1"/>
  <c r="H23" i="1"/>
  <c r="H22" i="1" s="1"/>
  <c r="G23" i="1"/>
  <c r="G22" i="1" s="1"/>
  <c r="F23" i="1"/>
  <c r="E22" i="1"/>
  <c r="E42" i="1" s="1"/>
  <c r="D22" i="1"/>
  <c r="D42" i="1" s="1"/>
  <c r="H16" i="1"/>
  <c r="F16" i="1"/>
  <c r="D16" i="1"/>
  <c r="I26" i="1" l="1"/>
  <c r="I25" i="1" s="1"/>
  <c r="I42" i="1" s="1"/>
  <c r="H192" i="1"/>
  <c r="G215" i="1"/>
  <c r="F219" i="1"/>
  <c r="G219" i="1" s="1"/>
  <c r="F304" i="1"/>
  <c r="G304" i="1" s="1"/>
  <c r="G294" i="1"/>
  <c r="F26" i="1"/>
  <c r="F25" i="1" s="1"/>
  <c r="F42" i="1" s="1"/>
  <c r="H33" i="1"/>
  <c r="E169" i="1"/>
  <c r="H31" i="1"/>
  <c r="H26" i="1" s="1"/>
  <c r="G26" i="1"/>
  <c r="G25" i="1" s="1"/>
  <c r="G42" i="1" s="1"/>
  <c r="F169" i="1"/>
  <c r="E137" i="1"/>
  <c r="F94" i="1"/>
  <c r="G169" i="1"/>
  <c r="H189" i="1"/>
  <c r="F206" i="1"/>
  <c r="G206" i="1" s="1"/>
  <c r="H265" i="1"/>
  <c r="H262" i="1" s="1"/>
  <c r="H273" i="1" s="1"/>
  <c r="H116" i="1"/>
  <c r="H115" i="1" s="1"/>
  <c r="H125" i="1"/>
  <c r="H121" i="1" s="1"/>
  <c r="H120" i="1" s="1"/>
  <c r="H34" i="1"/>
  <c r="G160" i="1"/>
  <c r="H25" i="1" l="1"/>
  <c r="H42" i="1" s="1"/>
  <c r="H137" i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<sst xmlns="http://schemas.openxmlformats.org/spreadsheetml/2006/main" count="393" uniqueCount="167">
  <si>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</si>
  <si>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</si>
  <si>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</si>
  <si>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</si>
  <si>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</si>
  <si>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</si>
  <si>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</si>
  <si>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</si>
  <si>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</si>
  <si>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</si>
  <si>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</si>
  <si>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</si>
  <si>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</si>
  <si>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</si>
  <si>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</si>
  <si>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</si>
  <si>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</si>
  <si>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</si>
  <si>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</si>
  <si>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</si>
  <si>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</si>
  <si>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</si>
  <si>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</si>
  <si>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</si>
  <si>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</si>
  <si>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</si>
  <si>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</si>
  <si>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</si>
  <si>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</si>
  <si>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</si>
  <si>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</si>
  <si>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</si>
  <si>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</si>
  <si>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</si>
  <si>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</si>
  <si>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</si>
  <si>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</si>
  <si>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</si>
  <si>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</si>
  <si>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</si>
  <si>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</si>
  <si>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</si>
  <si>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</si>
  <si>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</si>
  <si>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</si>
  <si>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</si>
  <si>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</si>
  <si>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</si>
  <si>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</si>
  <si>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</si>
  <si>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</si>
  <si>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</si>
  <si>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</si>
  <si>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</si>
  <si>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</si>
  <si>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</si>
  <si>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</si>
  <si>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</si>
  <si>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</si>
  <si>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</si>
  <si>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</si>
  <si>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</si>
  <si>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</si>
  <si>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</si>
  <si>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</si>
  <si>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</si>
  <si>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</si>
  <si>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</si>
  <si>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</si>
  <si>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</si>
  <si>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</si>
  <si>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</si>
  <si>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</si>
  <si>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</si>
  <si>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</si>
  <si>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</si>
  <si>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</si>
  <si>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</si>
  <si>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</si>
  <si>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</si>
  <si>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</si>
  <si>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</si>
  <si>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</si>
  <si>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</si>
  <si>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</si>
  <si>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</si>
  <si>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</si>
  <si>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</si>
  <si>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</si>
  <si>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</si>
  <si>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</si>
  <si>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</si>
  <si>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</si>
  <si>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</si>
  <si>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</si>
  <si>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</si>
  <si>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</si>
  <si>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</si>
  <si>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</si>
  <si>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</si>
  <si>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</si>
  <si>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</si>
  <si>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</si>
  <si>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</si>
  <si>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</si>
  <si>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</si>
  <si>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</si>
  <si>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</si>
  <si>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</si>
  <si>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</si>
  <si>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</si>
  <si>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</si>
  <si>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</si>
  <si>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</si>
  <si>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</si>
  <si>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</si>
  <si>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</si>
  <si>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</si>
  <si>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</si>
  <si>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</si>
  <si>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</si>
  <si>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</si>
  <si>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</si>
  <si>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</si>
  <si>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</si>
  <si>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</si>
  <si>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</si>
  <si>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</si>
  <si>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</si>
  <si>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</si>
  <si>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</si>
  <si>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</si>
  <si>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</si>
  <si>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</si>
  <si>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</si>
  <si>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</si>
  <si>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</si>
  <si>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</si>
  <si>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</si>
  <si>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</si>
  <si>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</si>
  <si>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</si>
  <si>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</si>
  <si>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</si>
  <si>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</si>
  <si>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</si>
  <si>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</si>
  <si>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</si>
  <si>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</si>
  <si>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</si>
  <si>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</si>
  <si>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</si>
  <si>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</si>
  <si>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</si>
  <si>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</si>
  <si>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</si>
  <si>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</si>
  <si>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</si>
  <si>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t>2 Registrert rekreasjonsfiske utgjør 35 tonn, men det legges til grunn at hele avsetningen tas</t>
  </si>
  <si>
    <t>4 Registrert rekreasjonsfiske utgjør 128 tonn, men det legges til grunn at hele avsetningen tas</t>
  </si>
  <si>
    <t>3 Registrert rekreasjonsfiske utgjør 495 tonn, men det legges til grunn at hele avsetningen tas</t>
  </si>
  <si>
    <t>FANGST UKE 22</t>
  </si>
  <si>
    <t>FANGST T.O.M UKE 22</t>
  </si>
  <si>
    <t>RESTKVOTER UKE 22</t>
  </si>
  <si>
    <t>FANGST T.O.M UKE 22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</si>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</sst>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sz val="8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4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134" zoomScale="112" zoomScaleNormal="55" zoomScaleSheetLayoutView="100" zoomScalePageLayoutView="85" workbookViewId="0">
      <selection activeCell="C141" sqref="C141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13" t="s">
        <v>123</v>
      </c>
      <c r="C2" s="314"/>
      <c r="D2" s="314"/>
      <c r="E2" s="314"/>
      <c r="F2" s="314"/>
      <c r="G2" s="314"/>
      <c r="H2" s="314"/>
      <c r="I2" s="314"/>
      <c r="J2" s="315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16"/>
      <c r="C9" s="317"/>
      <c r="D9" s="317"/>
      <c r="E9" s="317"/>
      <c r="F9" s="317"/>
      <c r="G9" s="317"/>
      <c r="H9" s="317"/>
      <c r="I9" s="317"/>
      <c r="J9" s="318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19" t="s">
        <v>1</v>
      </c>
      <c r="D11" s="320"/>
      <c r="E11" s="319" t="s">
        <v>2</v>
      </c>
      <c r="F11" s="320"/>
      <c r="G11" s="319" t="s">
        <v>3</v>
      </c>
      <c r="H11" s="320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73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25" t="s">
        <v>143</v>
      </c>
      <c r="D17" s="325"/>
      <c r="E17" s="325"/>
      <c r="F17" s="325"/>
      <c r="G17" s="325"/>
      <c r="H17" s="325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161</v>
      </c>
      <c r="G21" s="68" t="s">
        <v>162</v>
      </c>
      <c r="H21" s="68" t="s">
        <v>163</v>
      </c>
      <c r="I21" s="68" t="s">
        <v>164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95.005499999999998</v>
      </c>
      <c r="G22" s="27">
        <f t="shared" si="0"/>
        <v>18731.36261</v>
      </c>
      <c r="H22" s="10">
        <f t="shared" si="0"/>
        <v>22854.63739</v>
      </c>
      <c r="I22" s="10">
        <f t="shared" si="0"/>
        <v>35927.796540000003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95.0055</f>
        <v>95.005499999999998</v>
      </c>
      <c r="G23" s="22">
        <f>18433.85861</f>
        <v>18433.858609999999</v>
      </c>
      <c r="H23" s="22">
        <f>E23-G23</f>
        <v>22389.141390000001</v>
      </c>
      <c r="I23" s="22">
        <f>35469.04746</f>
        <v>35469.047460000002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297.504</f>
        <v>297.50400000000002</v>
      </c>
      <c r="H24" s="22">
        <f>E24-G24</f>
        <v>465.49599999999998</v>
      </c>
      <c r="I24" s="22">
        <f>458.74908</f>
        <v>458.74907999999999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654.30447000000004</v>
      </c>
      <c r="G25" s="10">
        <f t="shared" si="1"/>
        <v>94705.255410000012</v>
      </c>
      <c r="H25" s="10">
        <f t="shared" si="1"/>
        <v>26962.744590000002</v>
      </c>
      <c r="I25" s="10">
        <f t="shared" si="1"/>
        <v>114013.07306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390.87570999999997</v>
      </c>
      <c r="G26" s="129">
        <f>G27+G28+G29+G30+G31</f>
        <v>75586.419510000007</v>
      </c>
      <c r="H26" s="129">
        <f t="shared" ref="H26:I26" si="2">H27+H28+H29+H30+H31</f>
        <v>19306.58049</v>
      </c>
      <c r="I26" s="129">
        <f t="shared" si="2"/>
        <v>91333.65595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173.44527 - F55</f>
        <v>173.44526999999999</v>
      </c>
      <c r="G27" s="123">
        <f>22038.36089 - G55</f>
        <v>22038.36089</v>
      </c>
      <c r="H27" s="123">
        <f t="shared" ref="H27:H39" si="3">E27-G27</f>
        <v>3114.6391100000001</v>
      </c>
      <c r="I27" s="123">
        <f>25052.55444 - I55</f>
        <v>25052.55444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80.45976 - F56</f>
        <v>80.459760000000003</v>
      </c>
      <c r="G28" s="123">
        <f>21511.03517 - G56</f>
        <v>21511.035169999999</v>
      </c>
      <c r="H28" s="123">
        <f t="shared" si="3"/>
        <v>2482.9648300000008</v>
      </c>
      <c r="I28" s="123">
        <f>26377.08886 - I56</f>
        <v>26377.08886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178.75316 - F57</f>
        <v>178.75316000000001</v>
      </c>
      <c r="G29" s="123">
        <f>20150.78089 - G57</f>
        <v>20150.780890000002</v>
      </c>
      <c r="H29" s="123">
        <f t="shared" si="3"/>
        <v>1719.2191099999982</v>
      </c>
      <c r="I29" s="123">
        <f>24574.71596 - I57</f>
        <v>24574.715960000001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23.21752 - F58</f>
        <v>-41.78248</v>
      </c>
      <c r="G30" s="123">
        <f>13635.24256 - G58</f>
        <v>11886.242560000001</v>
      </c>
      <c r="H30" s="123">
        <f t="shared" si="3"/>
        <v>3758.7574399999994</v>
      </c>
      <c r="I30" s="123">
        <f>17806.29669 - I58</f>
        <v>15329.296689999999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62.20599</f>
        <v>62.20599</v>
      </c>
      <c r="G32" s="129">
        <f>6871.00216</f>
        <v>6871.00216</v>
      </c>
      <c r="H32" s="129">
        <f t="shared" si="3"/>
        <v>6807.99784</v>
      </c>
      <c r="I32" s="129">
        <f>9091.49431</f>
        <v>9091.49431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201.22277</v>
      </c>
      <c r="G33" s="129">
        <f>G34+G35</f>
        <v>12247.83374</v>
      </c>
      <c r="H33" s="129">
        <f t="shared" si="3"/>
        <v>848.16625999999997</v>
      </c>
      <c r="I33" s="129">
        <f>I34+I35</f>
        <v>13587.9228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201.22277 - F59 - F60</f>
        <v>201.22277</v>
      </c>
      <c r="G34" s="129">
        <f>12247.83374 - G59 - G60</f>
        <v>12247.83374</v>
      </c>
      <c r="H34" s="123">
        <f t="shared" si="3"/>
        <v>-111.83374000000003</v>
      </c>
      <c r="I34" s="123">
        <f>13587.9228 - I59 - I60</f>
        <v>13587.9228</v>
      </c>
      <c r="J34" s="63"/>
    </row>
    <row r="35" spans="1:10" ht="14.15" customHeight="1" x14ac:dyDescent="0.35">
      <c r="A35" s="192"/>
      <c r="B35" s="176"/>
      <c r="C35" s="66" t="s">
        <v>32</v>
      </c>
      <c r="D35" s="220">
        <v>960</v>
      </c>
      <c r="E35" s="220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77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254.3836</f>
        <v>254.3836</v>
      </c>
      <c r="H36" s="136">
        <f t="shared" si="3"/>
        <v>745.6164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34</v>
      </c>
      <c r="D37" s="140">
        <v>855</v>
      </c>
      <c r="E37" s="140">
        <v>855</v>
      </c>
      <c r="F37" s="95">
        <f>0.12</f>
        <v>0.12</v>
      </c>
      <c r="G37" s="95">
        <f>531.13131</f>
        <v>531.13130999999998</v>
      </c>
      <c r="H37" s="95">
        <f t="shared" si="3"/>
        <v>323.86869000000002</v>
      </c>
      <c r="I37" s="95">
        <f>455.41817</f>
        <v>455.41816999999998</v>
      </c>
      <c r="J37" s="267"/>
    </row>
    <row r="38" spans="1:10" ht="17.25" customHeight="1" x14ac:dyDescent="0.35">
      <c r="A38" s="1"/>
      <c r="B38" s="277"/>
      <c r="C38" s="70" t="s">
        <v>35</v>
      </c>
      <c r="D38" s="140">
        <v>3000</v>
      </c>
      <c r="E38" s="140">
        <v>3000</v>
      </c>
      <c r="F38" s="95">
        <f>F58</f>
        <v>65</v>
      </c>
      <c r="G38" s="95">
        <f>G58</f>
        <v>1749</v>
      </c>
      <c r="H38" s="95">
        <f t="shared" si="3"/>
        <v>1251</v>
      </c>
      <c r="I38" s="95">
        <f>I58</f>
        <v>2477</v>
      </c>
      <c r="J38" s="267"/>
    </row>
    <row r="39" spans="1:10" ht="17.25" customHeight="1" x14ac:dyDescent="0.35">
      <c r="A39" s="1"/>
      <c r="B39" s="277"/>
      <c r="C39" s="70" t="s">
        <v>36</v>
      </c>
      <c r="D39" s="140">
        <v>7000</v>
      </c>
      <c r="E39" s="140">
        <v>7000</v>
      </c>
      <c r="F39" s="95">
        <f>8.40901</f>
        <v>8.4090100000000003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38</v>
      </c>
      <c r="D40" s="140">
        <v>450</v>
      </c>
      <c r="E40" s="140">
        <v>450</v>
      </c>
      <c r="F40" s="95">
        <f>2.31178</f>
        <v>2.3117800000000002</v>
      </c>
      <c r="G40" s="95">
        <f>360.69478</f>
        <v>360.69477999999998</v>
      </c>
      <c r="H40" s="95">
        <f>E40-G40</f>
        <v>89.30522000000002</v>
      </c>
      <c r="I40" s="95">
        <f>313.31961</f>
        <v>313.31961000000001</v>
      </c>
      <c r="J40" s="267"/>
    </row>
    <row r="41" spans="1:10" ht="14.15" customHeight="1" x14ac:dyDescent="0.35">
      <c r="A41" s="1"/>
      <c r="B41" s="277"/>
      <c r="C41" s="70" t="s">
        <v>39</v>
      </c>
      <c r="D41" s="140"/>
      <c r="E41" s="136"/>
      <c r="F41" s="136">
        <f>0</f>
        <v>0</v>
      </c>
      <c r="G41" s="136">
        <f>66.65513</f>
        <v>66.65513</v>
      </c>
      <c r="H41" s="136">
        <f t="shared" ref="H41" si="4">E41-G41</f>
        <v>-66.65513</v>
      </c>
      <c r="I41" s="136">
        <f>85.43626</f>
        <v>85.436260000000004</v>
      </c>
      <c r="J41" s="267"/>
    </row>
    <row r="42" spans="1:10" ht="16.5" customHeight="1" x14ac:dyDescent="0.35">
      <c r="A42" s="1"/>
      <c r="B42" s="277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825.15075999999999</v>
      </c>
      <c r="G42" s="73">
        <f t="shared" si="5"/>
        <v>123398.48284000001</v>
      </c>
      <c r="H42" s="73">
        <f t="shared" si="5"/>
        <v>52160.51716000001</v>
      </c>
      <c r="I42" s="73">
        <f t="shared" si="5"/>
        <v>160620.40484</v>
      </c>
      <c r="J42" s="267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160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8" t="s">
        <v>43</v>
      </c>
      <c r="D49" s="328"/>
      <c r="E49" s="328"/>
      <c r="F49" s="328"/>
      <c r="G49" s="328"/>
      <c r="H49" s="328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161</v>
      </c>
      <c r="G51" s="68" t="s">
        <v>162</v>
      </c>
      <c r="H51" s="68" t="s">
        <v>163</v>
      </c>
      <c r="I51" s="68" t="s">
        <v>164</v>
      </c>
      <c r="J51" s="267"/>
    </row>
    <row r="52" spans="1:10" ht="14.15" customHeight="1" x14ac:dyDescent="0.35">
      <c r="A52" s="101"/>
      <c r="B52" s="24"/>
      <c r="C52" s="15" t="s">
        <v>45</v>
      </c>
      <c r="D52" s="329">
        <v>7872</v>
      </c>
      <c r="E52" s="329">
        <v>8231</v>
      </c>
      <c r="F52" s="10">
        <f>F56+F55+F54+F53</f>
        <v>0</v>
      </c>
      <c r="G52" s="10">
        <f>G56+G55+G54+G53</f>
        <v>0</v>
      </c>
      <c r="H52" s="329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330"/>
      <c r="E53" s="330"/>
      <c r="F53" s="123"/>
      <c r="G53" s="123"/>
      <c r="H53" s="330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330"/>
      <c r="E54" s="330"/>
      <c r="F54" s="123"/>
      <c r="G54" s="123"/>
      <c r="H54" s="330"/>
      <c r="I54" s="123"/>
      <c r="J54" s="267"/>
    </row>
    <row r="55" spans="1:10" ht="14.15" customHeight="1" x14ac:dyDescent="0.35">
      <c r="A55" s="101"/>
      <c r="B55" s="24"/>
      <c r="C55" s="60" t="s">
        <v>26</v>
      </c>
      <c r="D55" s="330"/>
      <c r="E55" s="330"/>
      <c r="F55" s="123"/>
      <c r="G55" s="123"/>
      <c r="H55" s="330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331"/>
      <c r="E56" s="331"/>
      <c r="F56" s="186"/>
      <c r="G56" s="186"/>
      <c r="H56" s="331"/>
      <c r="I56" s="186"/>
      <c r="J56" s="117"/>
    </row>
    <row r="57" spans="1:10" ht="14.15" customHeight="1" x14ac:dyDescent="0.35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67"/>
    </row>
    <row r="58" spans="1:10" ht="14.15" customHeight="1" x14ac:dyDescent="0.35">
      <c r="A58" s="101"/>
      <c r="B58" s="24"/>
      <c r="C58" s="139" t="s">
        <v>47</v>
      </c>
      <c r="D58" s="136">
        <v>3000</v>
      </c>
      <c r="E58" s="136">
        <v>3000</v>
      </c>
      <c r="F58" s="136">
        <v>65</v>
      </c>
      <c r="G58" s="136">
        <v>1749</v>
      </c>
      <c r="H58" s="136">
        <f>E58-G58</f>
        <v>1251</v>
      </c>
      <c r="I58" s="136">
        <v>2477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19" t="s">
        <v>1</v>
      </c>
      <c r="D68" s="320"/>
      <c r="E68" s="319" t="s">
        <v>2</v>
      </c>
      <c r="F68" s="332"/>
      <c r="G68" s="319" t="s">
        <v>3</v>
      </c>
      <c r="H68" s="320"/>
      <c r="I68" s="173"/>
      <c r="J68" s="267"/>
    </row>
    <row r="69" spans="1:10" ht="15" customHeight="1" x14ac:dyDescent="0.35">
      <c r="B69" s="277"/>
      <c r="C69" s="110" t="s">
        <v>142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144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50</v>
      </c>
      <c r="F78" s="14" t="s">
        <v>161</v>
      </c>
      <c r="G78" s="14" t="s">
        <v>162</v>
      </c>
      <c r="H78" s="14" t="s">
        <v>163</v>
      </c>
      <c r="I78" s="14" t="s">
        <v>164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68.692999999999998</v>
      </c>
      <c r="G79" s="10">
        <f t="shared" si="6"/>
        <v>18906.50419</v>
      </c>
      <c r="H79" s="10">
        <f t="shared" si="6"/>
        <v>7234.4958100000003</v>
      </c>
      <c r="I79" s="10">
        <f t="shared" si="6"/>
        <v>22765.783810000001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67.8789</f>
        <v>67.878900000000002</v>
      </c>
      <c r="G80" s="22">
        <f>18495.58669</f>
        <v>18495.58669</v>
      </c>
      <c r="H80" s="22">
        <f>E80-G80</f>
        <v>6820.4133099999999</v>
      </c>
      <c r="I80" s="22">
        <f>21994.40936</f>
        <v>21994.409360000001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0.8141</f>
        <v>0.81410000000000005</v>
      </c>
      <c r="G81" s="48">
        <f>410.9175</f>
        <v>410.91750000000002</v>
      </c>
      <c r="H81" s="48">
        <f>E81-G81</f>
        <v>414.08249999999998</v>
      </c>
      <c r="I81" s="48">
        <f>771.37445</f>
        <v>771.37445000000002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675.55502000000001</v>
      </c>
      <c r="G82" s="10">
        <f t="shared" si="7"/>
        <v>21987.07287</v>
      </c>
      <c r="H82" s="10">
        <f t="shared" si="7"/>
        <v>22141.92713</v>
      </c>
      <c r="I82" s="10">
        <f t="shared" si="7"/>
        <v>26737.147570000001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612.95406000000003</v>
      </c>
      <c r="G83" s="129">
        <f t="shared" si="8"/>
        <v>17745.349249999999</v>
      </c>
      <c r="H83" s="129">
        <f t="shared" si="8"/>
        <v>14759.650750000001</v>
      </c>
      <c r="I83" s="129">
        <f t="shared" si="8"/>
        <v>20366.484280000001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86.72623</f>
        <v>86.726230000000001</v>
      </c>
      <c r="G84" s="123">
        <f>2672.16896</f>
        <v>2672.16896</v>
      </c>
      <c r="H84" s="123">
        <f t="shared" ref="H84:H91" si="9">E84-G84</f>
        <v>6331.83104</v>
      </c>
      <c r="I84" s="123">
        <f>3818.63911</f>
        <v>3818.6391100000001</v>
      </c>
      <c r="J84" s="267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236.05547</f>
        <v>236.05547000000001</v>
      </c>
      <c r="G85" s="123">
        <f>4751.71563</f>
        <v>4751.7156299999997</v>
      </c>
      <c r="H85" s="123">
        <f t="shared" si="9"/>
        <v>4323.2843700000003</v>
      </c>
      <c r="I85" s="123">
        <f>6676.45305</f>
        <v>6676.4530500000001</v>
      </c>
      <c r="J85" s="267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281.50672</f>
        <v>281.50671999999997</v>
      </c>
      <c r="G86" s="123">
        <f>6062.73963</f>
        <v>6062.73963</v>
      </c>
      <c r="H86" s="123">
        <f t="shared" si="9"/>
        <v>2586.26037</v>
      </c>
      <c r="I86" s="123">
        <f>6503.14014</f>
        <v>6503.1401400000004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8.66564</f>
        <v>8.6656399999999998</v>
      </c>
      <c r="G87" s="123">
        <f>4258.72503</f>
        <v>4258.7250299999996</v>
      </c>
      <c r="H87" s="123">
        <f t="shared" si="9"/>
        <v>1518.2749700000004</v>
      </c>
      <c r="I87" s="123">
        <f>3368.25198</f>
        <v>3368.25198</v>
      </c>
      <c r="J87" s="267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41.98666</f>
        <v>41.986660000000001</v>
      </c>
      <c r="G88" s="129">
        <f>3169.9225</f>
        <v>3169.9225000000001</v>
      </c>
      <c r="H88" s="129">
        <f t="shared" si="9"/>
        <v>4947.0774999999994</v>
      </c>
      <c r="I88" s="129">
        <f>4709.96109</f>
        <v>4709.9610899999998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20.6143</f>
        <v>20.6143</v>
      </c>
      <c r="G89" s="72">
        <f>1071.80112</f>
        <v>1071.8011200000001</v>
      </c>
      <c r="H89" s="72">
        <f t="shared" si="9"/>
        <v>2435.1988799999999</v>
      </c>
      <c r="I89" s="72">
        <f>1660.7022</f>
        <v>1660.7021999999999</v>
      </c>
      <c r="J89" s="267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0.0168</f>
        <v>1.6799999999999999E-2</v>
      </c>
      <c r="G90" s="95">
        <f>27.17343</f>
        <v>27.17343</v>
      </c>
      <c r="H90" s="95">
        <f t="shared" si="9"/>
        <v>291.82657</v>
      </c>
      <c r="I90" s="95">
        <f>36.10176</f>
        <v>36.101759999999999</v>
      </c>
      <c r="J90" s="267"/>
    </row>
    <row r="91" spans="1:10" ht="18" customHeight="1" x14ac:dyDescent="0.35">
      <c r="A91" s="1"/>
      <c r="B91" s="277"/>
      <c r="C91" s="70" t="s">
        <v>54</v>
      </c>
      <c r="D91" s="140">
        <v>300</v>
      </c>
      <c r="E91" s="140">
        <v>300</v>
      </c>
      <c r="F91" s="136">
        <f>0.05942</f>
        <v>5.9420000000000001E-2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38</v>
      </c>
      <c r="D92" s="140">
        <v>50</v>
      </c>
      <c r="E92" s="140">
        <v>50</v>
      </c>
      <c r="F92" s="95">
        <f>0.04279</f>
        <v>4.2790000000000002E-2</v>
      </c>
      <c r="G92" s="95">
        <f>11.91775</f>
        <v>11.91775</v>
      </c>
      <c r="H92" s="136">
        <f>E92-G92</f>
        <v>38.082250000000002</v>
      </c>
      <c r="I92" s="95">
        <f>19.32406</f>
        <v>19.324059999999999</v>
      </c>
      <c r="J92" s="267"/>
    </row>
    <row r="93" spans="1:10" ht="18" customHeight="1" x14ac:dyDescent="0.35">
      <c r="A93" s="1"/>
      <c r="B93" s="277"/>
      <c r="C93" s="89" t="s">
        <v>55</v>
      </c>
      <c r="D93" s="140"/>
      <c r="E93" s="136"/>
      <c r="F93" s="136">
        <f>0</f>
        <v>0</v>
      </c>
      <c r="G93" s="136">
        <f>11.8549</f>
        <v>11.854900000000001</v>
      </c>
      <c r="H93" s="136">
        <f t="shared" ref="H93" si="10">E93-G93</f>
        <v>-11.854900000000001</v>
      </c>
      <c r="I93" s="136">
        <f>16.04012</f>
        <v>16.040120000000002</v>
      </c>
      <c r="J93" s="267"/>
    </row>
    <row r="94" spans="1:10" ht="16.5" customHeight="1" x14ac:dyDescent="0.35">
      <c r="A94" s="1"/>
      <c r="B94" s="277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744.36703</v>
      </c>
      <c r="G94" s="73">
        <f t="shared" si="12"/>
        <v>41244.523139999998</v>
      </c>
      <c r="H94" s="73">
        <f t="shared" si="12"/>
        <v>29694.476860000002</v>
      </c>
      <c r="I94" s="73">
        <f t="shared" si="12"/>
        <v>49874.397319999996</v>
      </c>
      <c r="J94" s="267"/>
    </row>
    <row r="95" spans="1:10" ht="13.5" customHeight="1" x14ac:dyDescent="0.35">
      <c r="A95" s="1"/>
      <c r="B95" s="277"/>
      <c r="C95" s="74" t="s">
        <v>126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158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165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56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51"/>
      <c r="E100" s="251"/>
      <c r="F100" s="251"/>
      <c r="G100" s="251"/>
      <c r="H100" s="251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23"/>
      <c r="B102" s="223"/>
      <c r="C102" s="233" t="s">
        <v>57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61</v>
      </c>
      <c r="F114" s="14" t="s">
        <v>161</v>
      </c>
      <c r="G114" s="14" t="s">
        <v>162</v>
      </c>
      <c r="H114" s="14" t="s">
        <v>163</v>
      </c>
      <c r="I114" s="14" t="s">
        <v>164</v>
      </c>
      <c r="J114" s="301"/>
    </row>
    <row r="115" spans="1:10" ht="14.15" customHeight="1" x14ac:dyDescent="0.35">
      <c r="A115" s="1"/>
      <c r="B115" s="277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29.633700000000001</v>
      </c>
      <c r="G115" s="10">
        <f t="shared" si="13"/>
        <v>28994.543979999999</v>
      </c>
      <c r="H115" s="10">
        <f t="shared" si="13"/>
        <v>43295.456019999998</v>
      </c>
      <c r="I115" s="10">
        <f t="shared" si="13"/>
        <v>37706.838319999995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57471</v>
      </c>
      <c r="F116" s="22">
        <f>29.6337</f>
        <v>29.633700000000001</v>
      </c>
      <c r="G116" s="22">
        <f>25829.16518</f>
        <v>25829.16518</v>
      </c>
      <c r="H116" s="22">
        <f>E116-G116</f>
        <v>31641.83482</v>
      </c>
      <c r="I116" s="22">
        <f>33406.86032</f>
        <v>33406.86032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14319</v>
      </c>
      <c r="F117" s="22">
        <f>0</f>
        <v>0</v>
      </c>
      <c r="G117" s="22">
        <f>3100.0212</f>
        <v>3100.0212000000001</v>
      </c>
      <c r="H117" s="22">
        <f>E117-G117</f>
        <v>11218.978800000001</v>
      </c>
      <c r="I117" s="22">
        <f>4234.52785</f>
        <v>4234.5278500000004</v>
      </c>
      <c r="J117" s="267"/>
    </row>
    <row r="118" spans="1:10" ht="13.5" customHeight="1" x14ac:dyDescent="0.35">
      <c r="A118" s="1"/>
      <c r="B118" s="277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67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52305</v>
      </c>
      <c r="F119" s="92">
        <f>2998.599</f>
        <v>2998.5990000000002</v>
      </c>
      <c r="G119" s="92">
        <f>12650.19515</f>
        <v>12650.19515</v>
      </c>
      <c r="H119" s="92">
        <f>E119-G119</f>
        <v>39654.80485</v>
      </c>
      <c r="I119" s="92">
        <f>5752.45912</f>
        <v>5752.4591200000004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295.68276000000003</v>
      </c>
      <c r="G120" s="91">
        <f t="shared" ref="G120" si="14">G121+G126+G129</f>
        <v>34404.430319999999</v>
      </c>
      <c r="H120" s="91">
        <f>H121+H126+H129</f>
        <v>38490.569679999993</v>
      </c>
      <c r="I120" s="91">
        <f>I121+I126+I129</f>
        <v>46102.402000000009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210.38703000000004</v>
      </c>
      <c r="G121" s="121">
        <f>G122+G123+G125+G124</f>
        <v>25684.790719999997</v>
      </c>
      <c r="H121" s="121">
        <f>H122+H123+H124+H125</f>
        <v>29049.209279999995</v>
      </c>
      <c r="I121" s="121">
        <f>I122+I123+I124+I125</f>
        <v>34669.559380000006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16279</v>
      </c>
      <c r="F122" s="123">
        <f>82.56022</f>
        <v>82.560220000000001</v>
      </c>
      <c r="G122" s="123">
        <f>5744.93515</f>
        <v>5744.9351500000002</v>
      </c>
      <c r="H122" s="123">
        <f>E122-G122</f>
        <v>10534.064849999999</v>
      </c>
      <c r="I122" s="123">
        <f>6403.8244</f>
        <v>6403.8244000000004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13937</v>
      </c>
      <c r="F123" s="123">
        <f>23.30093</f>
        <v>23.300930000000001</v>
      </c>
      <c r="G123" s="123">
        <f>7620.72462</f>
        <v>7620.72462</v>
      </c>
      <c r="H123" s="123">
        <f>E123-G123</f>
        <v>6316.27538</v>
      </c>
      <c r="I123" s="123">
        <f>10308.37514</f>
        <v>10308.37514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11676</v>
      </c>
      <c r="F124" s="123">
        <f>72.64512</f>
        <v>72.645120000000006</v>
      </c>
      <c r="G124" s="123">
        <f>5930.1199</f>
        <v>5930.1198999999997</v>
      </c>
      <c r="H124" s="123">
        <f>E124-G124</f>
        <v>5745.8801000000003</v>
      </c>
      <c r="I124" s="123">
        <f>9036.65738</f>
        <v>9036.6573800000006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12842</v>
      </c>
      <c r="F125" s="123">
        <f>31.88076</f>
        <v>31.880759999999999</v>
      </c>
      <c r="G125" s="123">
        <f>6389.01105</f>
        <v>6389.0110500000001</v>
      </c>
      <c r="H125" s="123">
        <f>E125-G125</f>
        <v>6452.9889499999999</v>
      </c>
      <c r="I125" s="123">
        <f>8920.70246</f>
        <v>8920.7024600000004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6.4255800000000001</v>
      </c>
      <c r="G126" s="129">
        <f>SUM(G127:G128)</f>
        <v>5766.23531</v>
      </c>
      <c r="H126" s="129">
        <f>H127+H128</f>
        <v>1264.76469</v>
      </c>
      <c r="I126" s="129">
        <f>SUM(I127:I128)</f>
        <v>8200.89689</v>
      </c>
      <c r="J126" s="130"/>
    </row>
    <row r="127" spans="1:10" ht="14.15" customHeight="1" x14ac:dyDescent="0.35">
      <c r="A127" s="1"/>
      <c r="B127" s="277"/>
      <c r="C127" s="60" t="s">
        <v>66</v>
      </c>
      <c r="D127" s="61">
        <v>6819</v>
      </c>
      <c r="E127" s="61">
        <v>6531</v>
      </c>
      <c r="F127" s="123">
        <f>4.64493</f>
        <v>4.6449299999999996</v>
      </c>
      <c r="G127" s="123">
        <f>5641.83579</f>
        <v>5641.8357900000001</v>
      </c>
      <c r="H127" s="123">
        <f t="shared" ref="H127:H135" si="15">E127-G127</f>
        <v>889.16420999999991</v>
      </c>
      <c r="I127" s="123">
        <f>7950.75758</f>
        <v>7950.7575800000004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1.78065</f>
        <v>1.7806500000000001</v>
      </c>
      <c r="G128" s="123">
        <f>124.39952</f>
        <v>124.39952</v>
      </c>
      <c r="H128" s="123">
        <f t="shared" si="15"/>
        <v>375.60048</v>
      </c>
      <c r="I128" s="123">
        <f>250.13931</f>
        <v>250.13930999999999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11130</v>
      </c>
      <c r="F129" s="72">
        <f>78.87015</f>
        <v>78.870149999999995</v>
      </c>
      <c r="G129" s="72">
        <f>2953.40429</f>
        <v>2953.4042899999999</v>
      </c>
      <c r="H129" s="72">
        <f t="shared" si="15"/>
        <v>8176.5957099999996</v>
      </c>
      <c r="I129" s="72">
        <f>3231.94573</f>
        <v>3231.9457299999999</v>
      </c>
      <c r="J129" s="117"/>
    </row>
    <row r="130" spans="1:10" ht="15.75" customHeight="1" x14ac:dyDescent="0.35">
      <c r="A130" s="1"/>
      <c r="B130" s="277"/>
      <c r="C130" s="139" t="s">
        <v>34</v>
      </c>
      <c r="D130" s="140">
        <v>146</v>
      </c>
      <c r="E130" s="140">
        <v>146</v>
      </c>
      <c r="F130" s="136">
        <f>0.0081</f>
        <v>8.0999999999999996E-3</v>
      </c>
      <c r="G130" s="136">
        <f>15.5505</f>
        <v>15.5505</v>
      </c>
      <c r="H130" s="136">
        <f t="shared" si="15"/>
        <v>130.4495</v>
      </c>
      <c r="I130" s="136">
        <f>15.71255</f>
        <v>15.71255</v>
      </c>
      <c r="J130" s="117"/>
    </row>
    <row r="131" spans="1:10" ht="15.75" customHeight="1" x14ac:dyDescent="0.35">
      <c r="A131" s="1"/>
      <c r="B131" s="277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82.208</f>
        <v>82.207999999999998</v>
      </c>
      <c r="J131" s="117"/>
    </row>
    <row r="132" spans="1:10" ht="18" customHeight="1" x14ac:dyDescent="0.35">
      <c r="A132" s="1"/>
      <c r="B132" s="277"/>
      <c r="C132" s="137" t="s">
        <v>69</v>
      </c>
      <c r="D132" s="140">
        <v>2000</v>
      </c>
      <c r="E132" s="140">
        <v>2000</v>
      </c>
      <c r="F132" s="136">
        <f>3.68657</f>
        <v>3.6865700000000001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70</v>
      </c>
      <c r="D134" s="140">
        <v>313</v>
      </c>
      <c r="E134" s="140">
        <v>313</v>
      </c>
      <c r="F134" s="95">
        <f>0.0232</f>
        <v>2.3199999999999998E-2</v>
      </c>
      <c r="G134" s="95">
        <f>81.81495</f>
        <v>81.814949999999996</v>
      </c>
      <c r="H134" s="136">
        <f t="shared" si="15"/>
        <v>231.18504999999999</v>
      </c>
      <c r="I134" s="95">
        <f>38.14073</f>
        <v>38.140729999999998</v>
      </c>
      <c r="J134" s="117"/>
    </row>
    <row r="135" spans="1:10" ht="15" customHeight="1" x14ac:dyDescent="0.35">
      <c r="A135" s="1"/>
      <c r="B135" s="277"/>
      <c r="C135" s="139" t="s">
        <v>39</v>
      </c>
      <c r="D135" s="142"/>
      <c r="E135" s="140"/>
      <c r="F135" s="136">
        <f>0</f>
        <v>0</v>
      </c>
      <c r="G135" s="136">
        <f>75.06826</f>
        <v>75.068259999999995</v>
      </c>
      <c r="H135" s="136">
        <f t="shared" si="15"/>
        <v>-75.068259999999995</v>
      </c>
      <c r="I135" s="136">
        <f>109.17109</f>
        <v>109.17109000000001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3327.6333300000001</v>
      </c>
      <c r="G137" s="73">
        <f>G115+G119+G120+G130+G131+G132+G133+G134+G135</f>
        <v>78221.603159999999</v>
      </c>
      <c r="H137" s="73">
        <f>H115+H119+H120+H130+H131+H132+H133+H134+H135</f>
        <v>122077.39683999999</v>
      </c>
      <c r="I137" s="73">
        <f>I115+I119+I120+I130+I131+I132+I133+I134+I135</f>
        <v>91806.931809999995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159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33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73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49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161</v>
      </c>
      <c r="F159" s="14" t="s">
        <v>162</v>
      </c>
      <c r="G159" s="52" t="s">
        <v>163</v>
      </c>
      <c r="H159" s="14" t="s">
        <v>164</v>
      </c>
      <c r="I159" s="152"/>
      <c r="J159" s="301"/>
    </row>
    <row r="160" spans="1:10" ht="14.15" customHeight="1" x14ac:dyDescent="0.35">
      <c r="A160" s="1"/>
      <c r="B160" s="277"/>
      <c r="C160" s="138" t="s">
        <v>74</v>
      </c>
      <c r="D160" s="91">
        <v>3762</v>
      </c>
      <c r="E160" s="297">
        <f>29.1854</f>
        <v>29.185400000000001</v>
      </c>
      <c r="F160" s="297">
        <f>439.59473</f>
        <v>439.59473000000003</v>
      </c>
      <c r="G160" s="42">
        <f>D160-F160-F161</f>
        <v>2629.5711800000004</v>
      </c>
      <c r="H160" s="297">
        <f>423.6032</f>
        <v>423.60320000000002</v>
      </c>
      <c r="I160" s="1"/>
      <c r="J160" s="117"/>
    </row>
    <row r="161" spans="1:10" ht="14.15" customHeight="1" x14ac:dyDescent="0.35">
      <c r="A161" s="1"/>
      <c r="B161" s="277"/>
      <c r="C161" s="133" t="s">
        <v>53</v>
      </c>
      <c r="D161" s="175"/>
      <c r="E161" s="148">
        <f>27.12455</f>
        <v>27.124549999999999</v>
      </c>
      <c r="F161" s="148">
        <f>692.83409</f>
        <v>692.83408999999995</v>
      </c>
      <c r="G161" s="219"/>
      <c r="H161" s="148">
        <f>994.8202</f>
        <v>994.8202</v>
      </c>
      <c r="I161" s="1"/>
      <c r="J161" s="117"/>
    </row>
    <row r="162" spans="1:10" ht="15.65" customHeight="1" x14ac:dyDescent="0.35">
      <c r="A162" s="1"/>
      <c r="B162" s="277"/>
      <c r="C162" s="163" t="s">
        <v>75</v>
      </c>
      <c r="D162" s="95">
        <v>200</v>
      </c>
      <c r="E162" s="166">
        <f>0</f>
        <v>0</v>
      </c>
      <c r="F162" s="166">
        <f>51.97734</f>
        <v>51.977339999999998</v>
      </c>
      <c r="G162" s="166">
        <f>D162-F162</f>
        <v>148.02266</v>
      </c>
      <c r="H162" s="166">
        <f>67.21338</f>
        <v>67.213380000000001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1981.96513</v>
      </c>
      <c r="F163" s="175">
        <f>F164+F165+F166</f>
        <v>2151.0910699999999</v>
      </c>
      <c r="G163" s="175">
        <f>D163-F163</f>
        <v>3490.9089300000001</v>
      </c>
      <c r="H163" s="175">
        <f>H164+H165+H166</f>
        <v>124.27875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922.4217</f>
        <v>922.42169999999999</v>
      </c>
      <c r="F164" s="123">
        <f>967.90906</f>
        <v>967.90905999999995</v>
      </c>
      <c r="G164" s="123"/>
      <c r="H164" s="123">
        <f>53.65561</f>
        <v>53.655610000000003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715.99583</f>
        <v>715.99582999999996</v>
      </c>
      <c r="F165" s="123">
        <f>782.22199</f>
        <v>782.22199000000001</v>
      </c>
      <c r="G165" s="123"/>
      <c r="H165" s="123">
        <f>30.49668</f>
        <v>30.496680000000001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343.5476</f>
        <v>343.54759999999999</v>
      </c>
      <c r="F166" s="186">
        <f>400.96002</f>
        <v>400.96001999999999</v>
      </c>
      <c r="G166" s="186"/>
      <c r="H166" s="186">
        <f>40.12646</f>
        <v>40.126460000000002</v>
      </c>
      <c r="I166" s="181"/>
      <c r="J166" s="182"/>
    </row>
    <row r="167" spans="1:10" ht="14.15" customHeight="1" x14ac:dyDescent="0.35">
      <c r="A167" s="1"/>
      <c r="B167" s="277"/>
      <c r="C167" s="70" t="s">
        <v>80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2038.2750800000001</v>
      </c>
      <c r="F169" s="188">
        <f>F160+F161+F162+F163+F167+F168</f>
        <v>3340.8503299999998</v>
      </c>
      <c r="G169" s="188">
        <f>D169-F169</f>
        <v>6334.1496700000007</v>
      </c>
      <c r="H169" s="188">
        <f>H160+H161+H162+H163+H167+H168</f>
        <v>1609.91553</v>
      </c>
      <c r="I169" s="159"/>
      <c r="J169" s="155"/>
    </row>
    <row r="170" spans="1:10" ht="42" customHeight="1" x14ac:dyDescent="0.35">
      <c r="A170" s="1"/>
      <c r="B170" s="193"/>
      <c r="C170" s="250" t="s">
        <v>132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83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140</v>
      </c>
      <c r="F188" s="68" t="s">
        <v>161</v>
      </c>
      <c r="G188" s="68" t="s">
        <v>162</v>
      </c>
      <c r="H188" s="68" t="s">
        <v>163</v>
      </c>
      <c r="I188" s="68" t="s">
        <v>164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1497.07214</f>
        <v>1497.07214</v>
      </c>
      <c r="G189" s="124">
        <f>23408.11185</f>
        <v>23408.111850000001</v>
      </c>
      <c r="H189" s="124">
        <f>D189-G189</f>
        <v>20733.888149999999</v>
      </c>
      <c r="I189" s="124">
        <f>20964.34728</f>
        <v>20964.347280000002</v>
      </c>
      <c r="J189" s="117"/>
    </row>
    <row r="190" spans="1:10" ht="15" customHeight="1" x14ac:dyDescent="0.35">
      <c r="A190" s="1"/>
      <c r="B190" s="277"/>
      <c r="C190" s="90" t="s">
        <v>67</v>
      </c>
      <c r="D190" s="124">
        <v>100</v>
      </c>
      <c r="E190" s="124">
        <v>100</v>
      </c>
      <c r="F190" s="124">
        <f>0.2835</f>
        <v>0.28349999999999997</v>
      </c>
      <c r="G190" s="124">
        <f>15.18481</f>
        <v>15.184810000000001</v>
      </c>
      <c r="H190" s="124">
        <f>D190-G190</f>
        <v>84.815190000000001</v>
      </c>
      <c r="I190" s="124">
        <f>23.17943</f>
        <v>23.17943</v>
      </c>
      <c r="J190" s="117"/>
    </row>
    <row r="191" spans="1:10" ht="15.75" customHeight="1" x14ac:dyDescent="0.35">
      <c r="A191" s="1"/>
      <c r="B191" s="277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1497.35564</v>
      </c>
      <c r="G192" s="190">
        <f>SUM(G189:G191)</f>
        <v>23423.29666</v>
      </c>
      <c r="H192" s="190">
        <f>D192-G192</f>
        <v>20854.70334</v>
      </c>
      <c r="I192" s="190">
        <f>SUM(I189:I191)</f>
        <v>20987.526710000002</v>
      </c>
      <c r="J192" s="117"/>
    </row>
    <row r="193" spans="1:10" ht="12" customHeight="1" x14ac:dyDescent="0.35">
      <c r="A193" s="1"/>
      <c r="B193" s="277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161</v>
      </c>
      <c r="F201" s="68" t="s">
        <v>162</v>
      </c>
      <c r="G201" s="68" t="s">
        <v>163</v>
      </c>
      <c r="H201" s="68" t="s">
        <v>164</v>
      </c>
      <c r="I201" s="1"/>
      <c r="J201" s="117"/>
    </row>
    <row r="202" spans="1:10" ht="15" customHeight="1" x14ac:dyDescent="0.35">
      <c r="A202" s="1"/>
      <c r="B202" s="277"/>
      <c r="C202" s="90" t="s">
        <v>116</v>
      </c>
      <c r="D202" s="124">
        <v>3987</v>
      </c>
      <c r="E202" s="72">
        <f>E203+E204</f>
        <v>131.02199999999999</v>
      </c>
      <c r="F202" s="72">
        <f>F203+F204</f>
        <v>2518.9277099999999</v>
      </c>
      <c r="G202" s="72">
        <f>D202-F202</f>
        <v>1468.0722900000001</v>
      </c>
      <c r="H202" s="72">
        <f>H203+H204</f>
        <v>2898.4367400000001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130.3524</f>
        <v>130.35239999999999</v>
      </c>
      <c r="F203" s="72">
        <f>2006.91294</f>
        <v>2006.9129399999999</v>
      </c>
      <c r="G203" s="72"/>
      <c r="H203" s="72">
        <f>2419.27993</f>
        <v>2419.2799300000001</v>
      </c>
      <c r="I203" s="271"/>
      <c r="J203" s="117"/>
    </row>
    <row r="204" spans="1:10" ht="15" customHeight="1" x14ac:dyDescent="0.35">
      <c r="A204" s="1"/>
      <c r="B204" s="277"/>
      <c r="C204" s="172" t="s">
        <v>67</v>
      </c>
      <c r="D204" s="124"/>
      <c r="E204" s="124">
        <f>0.6696</f>
        <v>0.66959999999999997</v>
      </c>
      <c r="F204" s="124">
        <f>512.01477</f>
        <v>512.01477</v>
      </c>
      <c r="G204" s="168"/>
      <c r="H204" s="124">
        <f>479.15681</f>
        <v>479.15681000000001</v>
      </c>
      <c r="I204" s="271"/>
      <c r="J204" s="117"/>
    </row>
    <row r="205" spans="1:10" ht="15" customHeight="1" x14ac:dyDescent="0.35">
      <c r="A205" s="1"/>
      <c r="B205" s="277"/>
      <c r="C205" s="90" t="s">
        <v>117</v>
      </c>
      <c r="D205" s="124">
        <v>4613</v>
      </c>
      <c r="E205" s="72">
        <f>198.3063</f>
        <v>198.30629999999999</v>
      </c>
      <c r="F205" s="72">
        <f>3619.10829</f>
        <v>3619.1082900000001</v>
      </c>
      <c r="G205" s="72">
        <f>D205-F205</f>
        <v>993.89170999999988</v>
      </c>
      <c r="H205" s="72">
        <f>4154.45481</f>
        <v>4154.4548100000002</v>
      </c>
      <c r="I205" s="271"/>
      <c r="J205" s="117"/>
    </row>
    <row r="206" spans="1:10" ht="16.5" customHeight="1" x14ac:dyDescent="0.35">
      <c r="A206" s="1"/>
      <c r="B206" s="277"/>
      <c r="C206" s="179" t="s">
        <v>86</v>
      </c>
      <c r="D206" s="190">
        <f>D205+D202</f>
        <v>8600</v>
      </c>
      <c r="E206" s="190">
        <f>SUM(E202,E205)</f>
        <v>329.32830000000001</v>
      </c>
      <c r="F206" s="190">
        <f>SUM(F202,F205)</f>
        <v>6138.0360000000001</v>
      </c>
      <c r="G206" s="190">
        <f>D206-F206</f>
        <v>2461.9639999999999</v>
      </c>
      <c r="H206" s="190">
        <f>SUM(H202,H205)</f>
        <v>7052.8915500000003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114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112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161</v>
      </c>
      <c r="F214" s="68" t="s">
        <v>162</v>
      </c>
      <c r="G214" s="68" t="s">
        <v>163</v>
      </c>
      <c r="H214" s="68" t="s">
        <v>164</v>
      </c>
      <c r="I214" s="1"/>
      <c r="J214" s="117"/>
    </row>
    <row r="215" spans="1:10" ht="15" customHeight="1" x14ac:dyDescent="0.35">
      <c r="A215" s="1"/>
      <c r="B215" s="277"/>
      <c r="C215" s="90" t="s">
        <v>116</v>
      </c>
      <c r="D215" s="124">
        <v>5090</v>
      </c>
      <c r="E215" s="72">
        <f>E216+E217</f>
        <v>108.31122000000001</v>
      </c>
      <c r="F215" s="72">
        <f>F216+F217</f>
        <v>2419.55627</v>
      </c>
      <c r="G215" s="72">
        <f>D215-F215</f>
        <v>2670.44373</v>
      </c>
      <c r="H215" s="72">
        <f>H216+H217</f>
        <v>3221.9624600000002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107.15782</f>
        <v>107.15782</v>
      </c>
      <c r="F216" s="72">
        <f>2142.44706</f>
        <v>2142.44706</v>
      </c>
      <c r="G216" s="72"/>
      <c r="H216" s="72">
        <f>2811.09045</f>
        <v>2811.0904500000001</v>
      </c>
      <c r="I216" s="271"/>
      <c r="J216" s="117"/>
    </row>
    <row r="217" spans="1:10" ht="15" customHeight="1" x14ac:dyDescent="0.35">
      <c r="A217" s="1"/>
      <c r="B217" s="277"/>
      <c r="C217" s="172" t="s">
        <v>67</v>
      </c>
      <c r="D217" s="124"/>
      <c r="E217" s="124">
        <f>1.1534</f>
        <v>1.1534</v>
      </c>
      <c r="F217" s="124">
        <f>277.10921</f>
        <v>277.10921000000002</v>
      </c>
      <c r="G217" s="168"/>
      <c r="H217" s="124">
        <f>410.87201</f>
        <v>410.87200999999999</v>
      </c>
      <c r="I217" s="271"/>
      <c r="J217" s="117"/>
    </row>
    <row r="218" spans="1:10" ht="15" customHeight="1" x14ac:dyDescent="0.35">
      <c r="A218" s="1"/>
      <c r="B218" s="277"/>
      <c r="C218" s="90" t="s">
        <v>117</v>
      </c>
      <c r="D218" s="124">
        <v>2981</v>
      </c>
      <c r="E218" s="72">
        <f>58.06776</f>
        <v>58.06776</v>
      </c>
      <c r="F218" s="72">
        <f>1470.72251</f>
        <v>1470.7225100000001</v>
      </c>
      <c r="G218" s="72">
        <f>D218-F218</f>
        <v>1510.2774899999999</v>
      </c>
      <c r="H218" s="72">
        <f>1825.39662</f>
        <v>1825.39662</v>
      </c>
      <c r="I218" s="271"/>
      <c r="J218" s="117"/>
    </row>
    <row r="219" spans="1:10" ht="16.5" customHeight="1" x14ac:dyDescent="0.35">
      <c r="A219" s="1"/>
      <c r="B219" s="277"/>
      <c r="C219" s="179" t="s">
        <v>86</v>
      </c>
      <c r="D219" s="190">
        <f>D218+D215</f>
        <v>8071</v>
      </c>
      <c r="E219" s="190">
        <f>SUM(E215,E218)</f>
        <v>166.37898000000001</v>
      </c>
      <c r="F219" s="190">
        <f>SUM(F215,F218)</f>
        <v>3890.2787800000001</v>
      </c>
      <c r="G219" s="190">
        <f>D219-F219</f>
        <v>4180.7212199999994</v>
      </c>
      <c r="H219" s="190">
        <f>SUM(H215,H218)</f>
        <v>5047.3590800000002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88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112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83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89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90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118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91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101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161</v>
      </c>
      <c r="F236" s="68" t="s">
        <v>162</v>
      </c>
      <c r="G236" s="68" t="s">
        <v>163</v>
      </c>
      <c r="H236" s="68" t="s">
        <v>164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7.49321</f>
        <v>7.4932100000000004</v>
      </c>
      <c r="F237" s="124">
        <f>208.60301</f>
        <v>208.60301000000001</v>
      </c>
      <c r="G237" s="124">
        <f>D237-F237</f>
        <v>591.39698999999996</v>
      </c>
      <c r="H237" s="124">
        <f>291.1236</f>
        <v>291.12360000000001</v>
      </c>
      <c r="I237" s="65"/>
      <c r="J237" s="267"/>
    </row>
    <row r="238" spans="1:10" ht="14.15" customHeight="1" x14ac:dyDescent="0.35">
      <c r="A238" s="1"/>
      <c r="B238" s="277"/>
      <c r="C238" s="90" t="s">
        <v>93</v>
      </c>
      <c r="D238" s="269">
        <v>2193</v>
      </c>
      <c r="E238" s="124">
        <f>10.1585</f>
        <v>10.1585</v>
      </c>
      <c r="F238" s="124">
        <f>357.85656</f>
        <v>357.85656</v>
      </c>
      <c r="G238" s="124">
        <f>D238-F238</f>
        <v>1835.1434400000001</v>
      </c>
      <c r="H238" s="124">
        <f>555.20976</f>
        <v>555.20975999999996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69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3.60962</f>
        <v>3.6096200000000001</v>
      </c>
      <c r="I239" s="65"/>
      <c r="J239" s="272"/>
    </row>
    <row r="240" spans="1:10" ht="18.75" customHeight="1" x14ac:dyDescent="0.35">
      <c r="A240" s="65"/>
      <c r="B240" s="273"/>
      <c r="C240" s="146" t="s">
        <v>94</v>
      </c>
      <c r="D240" s="245"/>
      <c r="E240" s="168">
        <f>1.17638</f>
        <v>1.17638</v>
      </c>
      <c r="F240" s="168">
        <f>1.84478</f>
        <v>1.8447800000000001</v>
      </c>
      <c r="G240" s="124">
        <f>D240-F240</f>
        <v>-1.8447800000000001</v>
      </c>
      <c r="H240" s="168">
        <f>0.091</f>
        <v>9.0999999999999998E-2</v>
      </c>
      <c r="I240" s="305"/>
      <c r="J240" s="117"/>
    </row>
    <row r="241" spans="1:10" ht="14.15" customHeight="1" x14ac:dyDescent="0.35">
      <c r="A241" s="1"/>
      <c r="B241" s="277"/>
      <c r="C241" s="179" t="s">
        <v>86</v>
      </c>
      <c r="D241" s="5">
        <f>D226</f>
        <v>3003</v>
      </c>
      <c r="E241" s="190">
        <f>SUM(E237:E240)</f>
        <v>18.828090000000003</v>
      </c>
      <c r="F241" s="190">
        <f>SUM(F237:F240)</f>
        <v>568.35848999999996</v>
      </c>
      <c r="G241" s="190">
        <f>D241-F241</f>
        <v>2434.6415099999999</v>
      </c>
      <c r="H241" s="190">
        <f>H237+H238+H239+H240</f>
        <v>850.03397999999993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23"/>
      <c r="B246" s="1"/>
      <c r="C246" s="213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81" t="s">
        <v>83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90</v>
      </c>
      <c r="D251" s="46">
        <f>25446+880-1500</f>
        <v>24826</v>
      </c>
      <c r="E251" s="173" t="s">
        <v>93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89</v>
      </c>
      <c r="D252" s="46">
        <v>8940</v>
      </c>
      <c r="E252" s="173" t="s">
        <v>59</v>
      </c>
      <c r="F252" s="45">
        <v>5500</v>
      </c>
      <c r="G252" s="271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136</v>
      </c>
      <c r="F261" s="246" t="s">
        <v>161</v>
      </c>
      <c r="G261" s="246" t="s">
        <v>162</v>
      </c>
      <c r="H261" s="246" t="s">
        <v>163</v>
      </c>
      <c r="I261" s="246" t="s">
        <v>164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124.74524</v>
      </c>
      <c r="G262" s="276">
        <f t="shared" si="17"/>
        <v>3803.6924399999998</v>
      </c>
      <c r="H262" s="276">
        <f>H266+H265+H264+H263</f>
        <v>23932.307560000001</v>
      </c>
      <c r="I262" s="276">
        <f t="shared" si="17"/>
        <v>6441.8698600000007</v>
      </c>
      <c r="J262" s="127"/>
    </row>
    <row r="263" spans="1:10" ht="14.15" customHeight="1" x14ac:dyDescent="0.35">
      <c r="A263" s="223"/>
      <c r="B263" s="69"/>
      <c r="C263" s="278" t="s">
        <v>102</v>
      </c>
      <c r="D263" s="279">
        <v>14132</v>
      </c>
      <c r="E263" s="279">
        <v>16670</v>
      </c>
      <c r="F263" s="280">
        <f>0</f>
        <v>0</v>
      </c>
      <c r="G263" s="280">
        <f>1321.78253</f>
        <v>1321.78253</v>
      </c>
      <c r="H263" s="280">
        <f t="shared" ref="H263:H267" si="18">E263-G263</f>
        <v>15348.21747</v>
      </c>
      <c r="I263" s="280">
        <f>4018.06226</f>
        <v>4018.0622600000002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390.3525</f>
        <v>390.35250000000002</v>
      </c>
      <c r="H264" s="280">
        <f t="shared" si="18"/>
        <v>3948.6475</v>
      </c>
      <c r="I264" s="280">
        <f>832.04145</f>
        <v>832.04145000000005</v>
      </c>
      <c r="J264" s="127"/>
    </row>
    <row r="265" spans="1:10" ht="14.15" customHeight="1" x14ac:dyDescent="0.35">
      <c r="A265" s="223"/>
      <c r="B265" s="69"/>
      <c r="C265" s="282" t="s">
        <v>99</v>
      </c>
      <c r="D265" s="279">
        <v>1506</v>
      </c>
      <c r="E265" s="279">
        <v>1571</v>
      </c>
      <c r="F265" s="280">
        <f>20.47344</f>
        <v>20.47344</v>
      </c>
      <c r="G265" s="280">
        <f>917.13962</f>
        <v>917.13962000000004</v>
      </c>
      <c r="H265" s="280">
        <f t="shared" si="18"/>
        <v>653.86037999999996</v>
      </c>
      <c r="I265" s="280">
        <f>1071.73489</f>
        <v>1071.73489</v>
      </c>
      <c r="J265" s="127"/>
    </row>
    <row r="266" spans="1:10" ht="14.15" customHeight="1" x14ac:dyDescent="0.35">
      <c r="A266" s="223"/>
      <c r="B266" s="69"/>
      <c r="C266" s="284" t="s">
        <v>122</v>
      </c>
      <c r="D266" s="285">
        <v>5043</v>
      </c>
      <c r="E266" s="285">
        <v>5156</v>
      </c>
      <c r="F266" s="280">
        <f>104.2718</f>
        <v>104.2718</v>
      </c>
      <c r="G266" s="280">
        <f>1174.41779</f>
        <v>1174.41779</v>
      </c>
      <c r="H266" s="280">
        <f t="shared" si="18"/>
        <v>3981.58221</v>
      </c>
      <c r="I266" s="280">
        <f>520.03126</f>
        <v>520.03125999999997</v>
      </c>
      <c r="J266" s="127"/>
    </row>
    <row r="267" spans="1:10" ht="14.15" customHeight="1" x14ac:dyDescent="0.35">
      <c r="A267" s="223"/>
      <c r="B267" s="69"/>
      <c r="C267" s="287" t="s">
        <v>59</v>
      </c>
      <c r="D267" s="288">
        <v>5500</v>
      </c>
      <c r="E267" s="288">
        <v>5500</v>
      </c>
      <c r="F267" s="290">
        <f>769.3368</f>
        <v>769.33680000000004</v>
      </c>
      <c r="G267" s="290">
        <f>3544.48324</f>
        <v>3544.48324</v>
      </c>
      <c r="H267" s="290">
        <f t="shared" si="18"/>
        <v>1955.51676</v>
      </c>
      <c r="I267" s="290">
        <f>1995.46496</f>
        <v>1995.46496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15.441599999999999</v>
      </c>
      <c r="G268" s="291">
        <f>G270+G269</f>
        <v>1214.59779</v>
      </c>
      <c r="H268" s="291">
        <f>E268-G268</f>
        <v>6785.4022100000002</v>
      </c>
      <c r="I268" s="291">
        <f>I270+I269</f>
        <v>1438.4673499999999</v>
      </c>
      <c r="J268" s="127"/>
    </row>
    <row r="269" spans="1:10" ht="14.15" customHeight="1" x14ac:dyDescent="0.35">
      <c r="A269" s="223"/>
      <c r="B269" s="69"/>
      <c r="C269" s="282" t="s">
        <v>53</v>
      </c>
      <c r="D269" s="293"/>
      <c r="E269" s="279"/>
      <c r="F269" s="280">
        <f>0</f>
        <v>0</v>
      </c>
      <c r="G269" s="280">
        <f>447.82058</f>
        <v>447.82058000000001</v>
      </c>
      <c r="H269" s="280"/>
      <c r="I269" s="280">
        <f>525.57129</f>
        <v>525.57128999999998</v>
      </c>
      <c r="J269" s="127"/>
    </row>
    <row r="270" spans="1:10" ht="14.15" customHeight="1" x14ac:dyDescent="0.35">
      <c r="A270" s="223"/>
      <c r="B270" s="69"/>
      <c r="C270" s="295" t="s">
        <v>103</v>
      </c>
      <c r="D270" s="296"/>
      <c r="E270" s="298"/>
      <c r="F270" s="299">
        <f>15.4416</f>
        <v>15.441599999999999</v>
      </c>
      <c r="G270" s="299">
        <f>766.77721</f>
        <v>766.77720999999997</v>
      </c>
      <c r="H270" s="299"/>
      <c r="I270" s="299">
        <f>912.89606</f>
        <v>912.89606000000003</v>
      </c>
      <c r="J270" s="127"/>
    </row>
    <row r="271" spans="1:10" ht="14.15" customHeight="1" x14ac:dyDescent="0.35">
      <c r="A271" s="223"/>
      <c r="B271" s="69"/>
      <c r="C271" s="287" t="s">
        <v>34</v>
      </c>
      <c r="D271" s="288">
        <v>13</v>
      </c>
      <c r="E271" s="288">
        <v>13</v>
      </c>
      <c r="F271" s="290">
        <f>0.555</f>
        <v>0.55500000000000005</v>
      </c>
      <c r="G271" s="290">
        <f>0.5685</f>
        <v>0.56850000000000001</v>
      </c>
      <c r="H271" s="290">
        <f>E271-G271</f>
        <v>12.4315</v>
      </c>
      <c r="I271" s="290">
        <f>0.0264</f>
        <v>2.64E-2</v>
      </c>
      <c r="J271" s="127"/>
    </row>
    <row r="272" spans="1:10" ht="14.15" customHeight="1" x14ac:dyDescent="0.35">
      <c r="A272" s="223"/>
      <c r="B272" s="69"/>
      <c r="C272" s="300" t="s">
        <v>104</v>
      </c>
      <c r="D272" s="303"/>
      <c r="E272" s="304"/>
      <c r="F272" s="290">
        <f>6.3674</f>
        <v>6.3673999999999999</v>
      </c>
      <c r="G272" s="290">
        <f>10.5148</f>
        <v>10.514799999999999</v>
      </c>
      <c r="H272" s="290">
        <f>E272-G272</f>
        <v>-10.514799999999999</v>
      </c>
      <c r="I272" s="290">
        <f>6.77432</f>
        <v>6.7743200000000003</v>
      </c>
      <c r="J272" s="127"/>
    </row>
    <row r="273" spans="1:10" ht="19.5" customHeight="1" x14ac:dyDescent="0.35">
      <c r="A273" s="223"/>
      <c r="B273" s="69"/>
      <c r="C273" s="306" t="s">
        <v>40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916.44603999999993</v>
      </c>
      <c r="G273" s="308">
        <f t="shared" si="19"/>
        <v>8573.8567700000003</v>
      </c>
      <c r="H273" s="308">
        <f>H262+H267+H268+H271+H272</f>
        <v>32675.143229999998</v>
      </c>
      <c r="I273" s="308">
        <f t="shared" si="19"/>
        <v>9882.6028900000001</v>
      </c>
      <c r="J273" s="127"/>
    </row>
    <row r="274" spans="1:10" ht="14.15" customHeight="1" x14ac:dyDescent="0.35">
      <c r="A274" s="223"/>
      <c r="B274" s="69"/>
      <c r="C274" s="156" t="s">
        <v>105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130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138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112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24" t="s">
        <v>120</v>
      </c>
      <c r="D288" s="324"/>
      <c r="E288" s="324"/>
      <c r="F288" s="324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107</v>
      </c>
      <c r="D293" s="21" t="s">
        <v>108</v>
      </c>
      <c r="E293" s="19" t="s">
        <v>161</v>
      </c>
      <c r="F293" s="19" t="s">
        <v>162</v>
      </c>
      <c r="G293" s="23" t="s">
        <v>163</v>
      </c>
      <c r="H293" s="19" t="s">
        <v>164</v>
      </c>
      <c r="I293" s="247"/>
      <c r="J293" s="13"/>
    </row>
    <row r="294" spans="1:10" ht="14.15" customHeight="1" x14ac:dyDescent="0.35">
      <c r="A294" s="223"/>
      <c r="B294" s="69"/>
      <c r="C294" s="287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23"/>
      <c r="B297" s="69"/>
      <c r="C297" s="287" t="s">
        <v>110</v>
      </c>
      <c r="D297" s="9">
        <v>894</v>
      </c>
      <c r="E297" s="25">
        <f>SUM(E298:E299)</f>
        <v>0</v>
      </c>
      <c r="F297" s="25">
        <f>SUM(F298:F299)</f>
        <v>986.36924999999997</v>
      </c>
      <c r="G297" s="82">
        <f>D297-F297</f>
        <v>-92.369249999999965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763.98023</f>
        <v>763.98023000000001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23"/>
      <c r="B300" s="69"/>
      <c r="C300" s="287" t="s">
        <v>111</v>
      </c>
      <c r="D300" s="9">
        <v>893</v>
      </c>
      <c r="E300" s="34">
        <f>SUM(E301:E302)</f>
        <v>28.330100000000002</v>
      </c>
      <c r="F300" s="34">
        <f>SUM(F301:F302)</f>
        <v>649.45986000000005</v>
      </c>
      <c r="G300" s="82">
        <f>D300-F300</f>
        <v>243.54013999999995</v>
      </c>
      <c r="H300" s="34">
        <f>SUM(H301:H302)</f>
        <v>1021.15211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21.509</f>
        <v>21.509</v>
      </c>
      <c r="F301" s="29">
        <f>440.45854</f>
        <v>440.45854000000003</v>
      </c>
      <c r="G301" s="94"/>
      <c r="H301" s="29">
        <f>723.45404</f>
        <v>723.45403999999996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6.8211</f>
        <v>6.8211000000000004</v>
      </c>
      <c r="F302" s="29">
        <f>209.00132</f>
        <v>209.00131999999999</v>
      </c>
      <c r="G302" s="105"/>
      <c r="H302" s="29">
        <f>297.69807</f>
        <v>297.69806999999997</v>
      </c>
      <c r="I302" s="145"/>
      <c r="J302" s="127"/>
    </row>
    <row r="303" spans="1:10" ht="14.15" customHeight="1" x14ac:dyDescent="0.35">
      <c r="A303" s="223"/>
      <c r="B303" s="69"/>
      <c r="C303" s="300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86</v>
      </c>
      <c r="D304" s="38">
        <f>D294+D297+D300</f>
        <v>2681</v>
      </c>
      <c r="E304" s="39">
        <f>E294+E297+E300+E303</f>
        <v>28.330100000000002</v>
      </c>
      <c r="F304" s="39">
        <f>F294+F297+F300+F303</f>
        <v>2659.0349900000001</v>
      </c>
      <c r="G304" s="40">
        <f>D304-F304</f>
        <v>21.965009999999893</v>
      </c>
      <c r="H304" s="39">
        <f>H294+H297+H300+H303</f>
        <v>3231.5963199999997</v>
      </c>
      <c r="I304" s="26"/>
      <c r="J304" s="127"/>
    </row>
    <row r="305" spans="1:10" ht="42" customHeight="1" x14ac:dyDescent="0.35">
      <c r="A305" s="223"/>
      <c r="B305" s="230"/>
      <c r="C305" s="326" t="s">
        <v>115</v>
      </c>
      <c r="D305" s="326"/>
      <c r="E305" s="326"/>
      <c r="F305" s="326"/>
      <c r="G305" s="326"/>
      <c r="H305" s="326"/>
      <c r="I305" s="326"/>
      <c r="J305" s="327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112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145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146</v>
      </c>
      <c r="E311" s="212" t="s">
        <v>147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90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148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49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24" t="s">
        <v>157</v>
      </c>
      <c r="D316" s="324"/>
      <c r="E316" s="324"/>
      <c r="F316" s="324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107</v>
      </c>
      <c r="D321" s="19" t="s">
        <v>1</v>
      </c>
      <c r="E321" s="19" t="s">
        <v>161</v>
      </c>
      <c r="F321" s="19" t="s">
        <v>162</v>
      </c>
      <c r="G321" s="19" t="s">
        <v>163</v>
      </c>
      <c r="H321" s="19" t="s">
        <v>164</v>
      </c>
      <c r="I321" s="247"/>
      <c r="J321" s="13"/>
    </row>
    <row r="322" spans="1:10" ht="18.75" customHeight="1" x14ac:dyDescent="0.35">
      <c r="A322" s="223"/>
      <c r="B322" s="69"/>
      <c r="C322" s="236" t="s">
        <v>154</v>
      </c>
      <c r="D322" s="237">
        <v>248</v>
      </c>
      <c r="E322" s="29">
        <f>0.26482</f>
        <v>0.26482</v>
      </c>
      <c r="F322" s="29">
        <f>81.02976</f>
        <v>81.029759999999996</v>
      </c>
      <c r="G322" s="238">
        <f>D322-F322</f>
        <v>166.97023999999999</v>
      </c>
      <c r="H322" s="29">
        <f>7.74035</f>
        <v>7.7403500000000003</v>
      </c>
      <c r="I322" s="242"/>
      <c r="J322" s="127"/>
    </row>
    <row r="323" spans="1:10" ht="17.5" customHeight="1" x14ac:dyDescent="0.35">
      <c r="A323" s="223"/>
      <c r="B323" s="69"/>
      <c r="C323" s="239" t="s">
        <v>155</v>
      </c>
      <c r="D323" s="240">
        <v>22048</v>
      </c>
      <c r="E323" s="29">
        <f>66.25311</f>
        <v>66.253110000000007</v>
      </c>
      <c r="F323" s="29">
        <f>379.19887</f>
        <v>379.19887</v>
      </c>
      <c r="G323" s="241">
        <f>D323-F323</f>
        <v>21668.80113</v>
      </c>
      <c r="H323" s="29">
        <f>451.21481</f>
        <v>451.21481</v>
      </c>
      <c r="I323" s="26"/>
      <c r="J323" s="127"/>
    </row>
    <row r="324" spans="1:10" ht="17.149999999999999" customHeight="1" x14ac:dyDescent="0.35">
      <c r="A324" s="223"/>
      <c r="B324" s="69"/>
      <c r="C324" s="306" t="s">
        <v>86</v>
      </c>
      <c r="D324" s="229">
        <f>D322+D323</f>
        <v>22296</v>
      </c>
      <c r="E324" s="39">
        <f>E323+E322</f>
        <v>66.517930000000007</v>
      </c>
      <c r="F324" s="39">
        <f>F323+F322</f>
        <v>460.22863000000001</v>
      </c>
      <c r="G324" s="39">
        <f>G323+G322</f>
        <v>21835.771369999999</v>
      </c>
      <c r="H324" s="39">
        <f>H323+H322</f>
        <v>458.95515999999998</v>
      </c>
      <c r="I324" s="26"/>
      <c r="J324" s="127"/>
    </row>
    <row r="325" spans="1:10" ht="22.5" customHeight="1" x14ac:dyDescent="0.35">
      <c r="A325" s="223"/>
      <c r="B325" s="69"/>
      <c r="C325" s="322" t="s">
        <v>156</v>
      </c>
      <c r="D325" s="322"/>
      <c r="E325" s="322"/>
      <c r="F325" s="322"/>
      <c r="G325" s="322"/>
      <c r="H325" s="322"/>
      <c r="I325" s="322"/>
      <c r="J325" s="323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112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145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146</v>
      </c>
      <c r="E332" s="212" t="s">
        <v>147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90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148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49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21" t="s">
        <v>149</v>
      </c>
      <c r="D337" s="321"/>
      <c r="E337" s="321"/>
      <c r="F337" s="321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107</v>
      </c>
      <c r="D342" s="19" t="s">
        <v>1</v>
      </c>
      <c r="E342" s="246" t="s">
        <v>150</v>
      </c>
      <c r="F342" s="246" t="s">
        <v>151</v>
      </c>
      <c r="G342" s="246" t="s">
        <v>152</v>
      </c>
      <c r="H342" s="224" t="s">
        <v>153</v>
      </c>
      <c r="I342" s="247"/>
      <c r="J342" s="13"/>
    </row>
    <row r="343" spans="1:10" ht="0" hidden="1" customHeight="1" x14ac:dyDescent="0.35">
      <c r="A343" s="223"/>
      <c r="B343" s="69"/>
      <c r="C343" s="225" t="s">
        <v>154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155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86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22" t="s">
        <v>156</v>
      </c>
      <c r="D346" s="322"/>
      <c r="E346" s="322"/>
      <c r="F346" s="322"/>
      <c r="G346" s="322"/>
      <c r="H346" s="322"/>
      <c r="I346" s="322"/>
      <c r="J346" s="323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22&amp;R02.06.2025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2025-06-02T08:53:23Z</dcterms:modified>
</cp:coreProperties>
</file>