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mal\AppData\Local\Microsoft\Windows\INetCache\Content.Outlook\JPV7RF9W\"/>
    </mc:Choice>
  </mc:AlternateContent>
  <xr:revisionPtr revIDLastSave="0" documentId="13_ncr:1_{D94A2F10-075B-4CB7-AF2F-4082CB1A8A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H119" i="1" s="1"/>
  <c r="G124" i="1"/>
  <c r="H124" i="1" s="1"/>
  <c r="G125" i="1"/>
  <c r="H125" i="1" s="1"/>
  <c r="G123" i="1"/>
  <c r="H345" i="1"/>
  <c r="F345" i="1"/>
  <c r="E345" i="1"/>
  <c r="D345" i="1"/>
  <c r="G344" i="1"/>
  <c r="G345" i="1" s="1"/>
  <c r="G343" i="1"/>
  <c r="E336" i="1"/>
  <c r="D324" i="1"/>
  <c r="H323" i="1"/>
  <c r="H324" i="1" s="1"/>
  <c r="F323" i="1"/>
  <c r="F324" i="1" s="1"/>
  <c r="E323" i="1"/>
  <c r="E324" i="1" s="1"/>
  <c r="H322" i="1"/>
  <c r="G322" i="1"/>
  <c r="F322" i="1"/>
  <c r="E322" i="1"/>
  <c r="E315" i="1"/>
  <c r="D304" i="1"/>
  <c r="H303" i="1"/>
  <c r="F303" i="1"/>
  <c r="G303" i="1" s="1"/>
  <c r="E303" i="1"/>
  <c r="H302" i="1"/>
  <c r="F302" i="1"/>
  <c r="F300" i="1" s="1"/>
  <c r="G300" i="1" s="1"/>
  <c r="E302" i="1"/>
  <c r="E300" i="1" s="1"/>
  <c r="H301" i="1"/>
  <c r="H300" i="1" s="1"/>
  <c r="F301" i="1"/>
  <c r="E301" i="1"/>
  <c r="H299" i="1"/>
  <c r="H297" i="1" s="1"/>
  <c r="F299" i="1"/>
  <c r="E299" i="1"/>
  <c r="H298" i="1"/>
  <c r="F298" i="1"/>
  <c r="E298" i="1"/>
  <c r="F297" i="1"/>
  <c r="G297" i="1" s="1"/>
  <c r="E297" i="1"/>
  <c r="H296" i="1"/>
  <c r="F296" i="1"/>
  <c r="E296" i="1"/>
  <c r="H295" i="1"/>
  <c r="F295" i="1"/>
  <c r="F294" i="1" s="1"/>
  <c r="E295" i="1"/>
  <c r="E294" i="1" s="1"/>
  <c r="E304" i="1" s="1"/>
  <c r="H294" i="1"/>
  <c r="E273" i="1"/>
  <c r="I272" i="1"/>
  <c r="H272" i="1"/>
  <c r="G272" i="1"/>
  <c r="F272" i="1"/>
  <c r="I271" i="1"/>
  <c r="G271" i="1"/>
  <c r="H271" i="1" s="1"/>
  <c r="F271" i="1"/>
  <c r="I270" i="1"/>
  <c r="G270" i="1"/>
  <c r="G268" i="1" s="1"/>
  <c r="H268" i="1" s="1"/>
  <c r="F270" i="1"/>
  <c r="I269" i="1"/>
  <c r="G269" i="1"/>
  <c r="F269" i="1"/>
  <c r="F268" i="1" s="1"/>
  <c r="I268" i="1"/>
  <c r="I267" i="1"/>
  <c r="G267" i="1"/>
  <c r="H267" i="1" s="1"/>
  <c r="F267" i="1"/>
  <c r="I266" i="1"/>
  <c r="H266" i="1"/>
  <c r="G266" i="1"/>
  <c r="F266" i="1"/>
  <c r="I265" i="1"/>
  <c r="G265" i="1"/>
  <c r="G262" i="1" s="1"/>
  <c r="F265" i="1"/>
  <c r="F262" i="1" s="1"/>
  <c r="I264" i="1"/>
  <c r="H264" i="1"/>
  <c r="G264" i="1"/>
  <c r="F264" i="1"/>
  <c r="I263" i="1"/>
  <c r="G263" i="1"/>
  <c r="H263" i="1" s="1"/>
  <c r="F263" i="1"/>
  <c r="I262" i="1"/>
  <c r="I273" i="1" s="1"/>
  <c r="E262" i="1"/>
  <c r="D262" i="1"/>
  <c r="D273" i="1" s="1"/>
  <c r="H254" i="1"/>
  <c r="F254" i="1"/>
  <c r="D251" i="1"/>
  <c r="D250" i="1"/>
  <c r="D241" i="1"/>
  <c r="H240" i="1"/>
  <c r="G240" i="1"/>
  <c r="F240" i="1"/>
  <c r="E240" i="1"/>
  <c r="H239" i="1"/>
  <c r="F239" i="1"/>
  <c r="G239" i="1" s="1"/>
  <c r="E239" i="1"/>
  <c r="H238" i="1"/>
  <c r="G238" i="1"/>
  <c r="F238" i="1"/>
  <c r="E238" i="1"/>
  <c r="H237" i="1"/>
  <c r="H241" i="1" s="1"/>
  <c r="F237" i="1"/>
  <c r="F241" i="1" s="1"/>
  <c r="E237" i="1"/>
  <c r="E241" i="1" s="1"/>
  <c r="D230" i="1"/>
  <c r="H219" i="1"/>
  <c r="D219" i="1"/>
  <c r="H218" i="1"/>
  <c r="F218" i="1"/>
  <c r="G218" i="1" s="1"/>
  <c r="E218" i="1"/>
  <c r="H217" i="1"/>
  <c r="F217" i="1"/>
  <c r="F215" i="1" s="1"/>
  <c r="E217" i="1"/>
  <c r="H216" i="1"/>
  <c r="F216" i="1"/>
  <c r="E216" i="1"/>
  <c r="H215" i="1"/>
  <c r="E215" i="1"/>
  <c r="E219" i="1" s="1"/>
  <c r="D206" i="1"/>
  <c r="H205" i="1"/>
  <c r="F205" i="1"/>
  <c r="G205" i="1" s="1"/>
  <c r="E205" i="1"/>
  <c r="H204" i="1"/>
  <c r="F204" i="1"/>
  <c r="E204" i="1"/>
  <c r="H203" i="1"/>
  <c r="H202" i="1" s="1"/>
  <c r="H206" i="1" s="1"/>
  <c r="F203" i="1"/>
  <c r="F202" i="1" s="1"/>
  <c r="E203" i="1"/>
  <c r="E202" i="1"/>
  <c r="E206" i="1" s="1"/>
  <c r="G192" i="1"/>
  <c r="H192" i="1" s="1"/>
  <c r="E192" i="1"/>
  <c r="D192" i="1"/>
  <c r="I191" i="1"/>
  <c r="H191" i="1"/>
  <c r="G191" i="1"/>
  <c r="F191" i="1"/>
  <c r="I190" i="1"/>
  <c r="I192" i="1" s="1"/>
  <c r="G190" i="1"/>
  <c r="H190" i="1" s="1"/>
  <c r="F190" i="1"/>
  <c r="I189" i="1"/>
  <c r="H189" i="1"/>
  <c r="G189" i="1"/>
  <c r="F189" i="1"/>
  <c r="F192" i="1" s="1"/>
  <c r="D169" i="1"/>
  <c r="H168" i="1"/>
  <c r="F168" i="1"/>
  <c r="G168" i="1" s="1"/>
  <c r="E168" i="1"/>
  <c r="H167" i="1"/>
  <c r="G167" i="1"/>
  <c r="F167" i="1"/>
  <c r="E167" i="1"/>
  <c r="H166" i="1"/>
  <c r="F166" i="1"/>
  <c r="E166" i="1"/>
  <c r="H165" i="1"/>
  <c r="F165" i="1"/>
  <c r="E165" i="1"/>
  <c r="H164" i="1"/>
  <c r="H163" i="1" s="1"/>
  <c r="H169" i="1" s="1"/>
  <c r="F164" i="1"/>
  <c r="E164" i="1"/>
  <c r="E163" i="1" s="1"/>
  <c r="F163" i="1"/>
  <c r="G163" i="1" s="1"/>
  <c r="H162" i="1"/>
  <c r="G162" i="1"/>
  <c r="F162" i="1"/>
  <c r="E162" i="1"/>
  <c r="H161" i="1"/>
  <c r="F161" i="1"/>
  <c r="G160" i="1" s="1"/>
  <c r="E161" i="1"/>
  <c r="E169" i="1" s="1"/>
  <c r="H160" i="1"/>
  <c r="F160" i="1"/>
  <c r="F169" i="1" s="1"/>
  <c r="G169" i="1" s="1"/>
  <c r="E160" i="1"/>
  <c r="I135" i="1"/>
  <c r="G135" i="1"/>
  <c r="H135" i="1" s="1"/>
  <c r="F135" i="1"/>
  <c r="I134" i="1"/>
  <c r="H134" i="1"/>
  <c r="G134" i="1"/>
  <c r="F134" i="1"/>
  <c r="H133" i="1"/>
  <c r="I132" i="1"/>
  <c r="H132" i="1"/>
  <c r="G132" i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H128" i="1"/>
  <c r="G128" i="1"/>
  <c r="F128" i="1"/>
  <c r="I127" i="1"/>
  <c r="I126" i="1" s="1"/>
  <c r="I120" i="1" s="1"/>
  <c r="G127" i="1"/>
  <c r="H127" i="1" s="1"/>
  <c r="H126" i="1" s="1"/>
  <c r="F127" i="1"/>
  <c r="F126" i="1"/>
  <c r="E126" i="1"/>
  <c r="D126" i="1"/>
  <c r="I125" i="1"/>
  <c r="F125" i="1"/>
  <c r="I124" i="1"/>
  <c r="F124" i="1"/>
  <c r="I123" i="1"/>
  <c r="H123" i="1"/>
  <c r="F123" i="1"/>
  <c r="I122" i="1"/>
  <c r="G122" i="1"/>
  <c r="F122" i="1"/>
  <c r="I121" i="1"/>
  <c r="F121" i="1"/>
  <c r="F120" i="1" s="1"/>
  <c r="E121" i="1"/>
  <c r="E120" i="1" s="1"/>
  <c r="D121" i="1"/>
  <c r="D120" i="1" s="1"/>
  <c r="I119" i="1"/>
  <c r="F119" i="1"/>
  <c r="I118" i="1"/>
  <c r="H118" i="1"/>
  <c r="G118" i="1"/>
  <c r="F118" i="1"/>
  <c r="I117" i="1"/>
  <c r="G117" i="1"/>
  <c r="H117" i="1" s="1"/>
  <c r="H115" i="1" s="1"/>
  <c r="F117" i="1"/>
  <c r="I116" i="1"/>
  <c r="I115" i="1" s="1"/>
  <c r="I137" i="1" s="1"/>
  <c r="H116" i="1"/>
  <c r="G116" i="1"/>
  <c r="F116" i="1"/>
  <c r="F115" i="1" s="1"/>
  <c r="F137" i="1" s="1"/>
  <c r="E115" i="1"/>
  <c r="E137" i="1" s="1"/>
  <c r="D115" i="1"/>
  <c r="D137" i="1" s="1"/>
  <c r="C113" i="1"/>
  <c r="I93" i="1"/>
  <c r="G93" i="1"/>
  <c r="H93" i="1" s="1"/>
  <c r="F93" i="1"/>
  <c r="I92" i="1"/>
  <c r="H92" i="1"/>
  <c r="G92" i="1"/>
  <c r="F92" i="1"/>
  <c r="I91" i="1"/>
  <c r="G91" i="1"/>
  <c r="H91" i="1" s="1"/>
  <c r="F91" i="1"/>
  <c r="I90" i="1"/>
  <c r="H90" i="1"/>
  <c r="G90" i="1"/>
  <c r="F90" i="1"/>
  <c r="I89" i="1"/>
  <c r="G89" i="1"/>
  <c r="H89" i="1" s="1"/>
  <c r="F89" i="1"/>
  <c r="I88" i="1"/>
  <c r="H88" i="1"/>
  <c r="G88" i="1"/>
  <c r="F88" i="1"/>
  <c r="I87" i="1"/>
  <c r="G87" i="1"/>
  <c r="H87" i="1" s="1"/>
  <c r="F87" i="1"/>
  <c r="I86" i="1"/>
  <c r="H86" i="1"/>
  <c r="G86" i="1"/>
  <c r="F86" i="1"/>
  <c r="I85" i="1"/>
  <c r="G85" i="1"/>
  <c r="H85" i="1" s="1"/>
  <c r="F85" i="1"/>
  <c r="I84" i="1"/>
  <c r="I83" i="1" s="1"/>
  <c r="I82" i="1" s="1"/>
  <c r="H84" i="1"/>
  <c r="H83" i="1" s="1"/>
  <c r="H82" i="1" s="1"/>
  <c r="G84" i="1"/>
  <c r="F84" i="1"/>
  <c r="F83" i="1" s="1"/>
  <c r="F82" i="1" s="1"/>
  <c r="F94" i="1" s="1"/>
  <c r="G83" i="1"/>
  <c r="G82" i="1" s="1"/>
  <c r="E83" i="1"/>
  <c r="E82" i="1" s="1"/>
  <c r="D83" i="1"/>
  <c r="D82" i="1" s="1"/>
  <c r="D94" i="1" s="1"/>
  <c r="I81" i="1"/>
  <c r="I79" i="1" s="1"/>
  <c r="H81" i="1"/>
  <c r="G81" i="1"/>
  <c r="F81" i="1"/>
  <c r="I80" i="1"/>
  <c r="G80" i="1"/>
  <c r="G79" i="1" s="1"/>
  <c r="G94" i="1" s="1"/>
  <c r="F80" i="1"/>
  <c r="F79" i="1"/>
  <c r="E79" i="1"/>
  <c r="E94" i="1" s="1"/>
  <c r="D79" i="1"/>
  <c r="C76" i="1"/>
  <c r="H72" i="1"/>
  <c r="F72" i="1"/>
  <c r="D72" i="1"/>
  <c r="H58" i="1"/>
  <c r="H57" i="1"/>
  <c r="I52" i="1"/>
  <c r="G52" i="1"/>
  <c r="G31" i="1" s="1"/>
  <c r="H31" i="1" s="1"/>
  <c r="F5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H36" i="1"/>
  <c r="G36" i="1"/>
  <c r="F36" i="1"/>
  <c r="I35" i="1"/>
  <c r="G35" i="1"/>
  <c r="H35" i="1" s="1"/>
  <c r="F35" i="1"/>
  <c r="F33" i="1" s="1"/>
  <c r="I34" i="1"/>
  <c r="H34" i="1"/>
  <c r="G34" i="1"/>
  <c r="F34" i="1"/>
  <c r="I33" i="1"/>
  <c r="G33" i="1"/>
  <c r="E33" i="1"/>
  <c r="D33" i="1"/>
  <c r="I32" i="1"/>
  <c r="G32" i="1"/>
  <c r="H32" i="1" s="1"/>
  <c r="F32" i="1"/>
  <c r="I31" i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I27" i="1"/>
  <c r="H27" i="1"/>
  <c r="G27" i="1"/>
  <c r="F27" i="1"/>
  <c r="E26" i="1"/>
  <c r="E25" i="1" s="1"/>
  <c r="D26" i="1"/>
  <c r="D25" i="1" s="1"/>
  <c r="I24" i="1"/>
  <c r="H24" i="1"/>
  <c r="G24" i="1"/>
  <c r="F24" i="1"/>
  <c r="I23" i="1"/>
  <c r="G23" i="1"/>
  <c r="G22" i="1" s="1"/>
  <c r="F23" i="1"/>
  <c r="I22" i="1"/>
  <c r="F22" i="1"/>
  <c r="E22" i="1"/>
  <c r="E42" i="1" s="1"/>
  <c r="D22" i="1"/>
  <c r="D42" i="1" s="1"/>
  <c r="H16" i="1"/>
  <c r="F16" i="1"/>
  <c r="D16" i="1"/>
  <c r="G121" i="1" l="1"/>
  <c r="I26" i="1"/>
  <c r="F26" i="1"/>
  <c r="F25" i="1" s="1"/>
  <c r="F42" i="1" s="1"/>
  <c r="H26" i="1"/>
  <c r="G120" i="1"/>
  <c r="F219" i="1"/>
  <c r="G219" i="1" s="1"/>
  <c r="G215" i="1"/>
  <c r="G294" i="1"/>
  <c r="F304" i="1"/>
  <c r="G206" i="1"/>
  <c r="H79" i="1"/>
  <c r="H94" i="1" s="1"/>
  <c r="I94" i="1"/>
  <c r="G202" i="1"/>
  <c r="F206" i="1"/>
  <c r="G25" i="1"/>
  <c r="I25" i="1"/>
  <c r="I42" i="1" s="1"/>
  <c r="F273" i="1"/>
  <c r="G42" i="1"/>
  <c r="G241" i="1"/>
  <c r="G273" i="1"/>
  <c r="H304" i="1"/>
  <c r="G304" i="1"/>
  <c r="H33" i="1"/>
  <c r="G126" i="1"/>
  <c r="H265" i="1"/>
  <c r="H262" i="1" s="1"/>
  <c r="H273" i="1" s="1"/>
  <c r="G323" i="1"/>
  <c r="G324" i="1" s="1"/>
  <c r="H122" i="1"/>
  <c r="H121" i="1" s="1"/>
  <c r="H120" i="1" s="1"/>
  <c r="H137" i="1" s="1"/>
  <c r="G26" i="1"/>
  <c r="H23" i="1"/>
  <c r="H22" i="1" s="1"/>
  <c r="H52" i="1"/>
  <c r="H80" i="1"/>
  <c r="G237" i="1"/>
  <c r="G115" i="1"/>
  <c r="H25" i="1" l="1"/>
  <c r="H42" i="1" s="1"/>
  <c r="G137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<sst xmlns="http://schemas.openxmlformats.org/spreadsheetml/2006/main" count="393" uniqueCount="167">
  <si>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</si>
  <si>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</si>
  <si>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</si>
  <si>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</si>
  <si>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</si>
  <si>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</si>
  <si>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</si>
  <si>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</si>
  <si>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</si>
  <si>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</si>
  <si>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</si>
  <si>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</si>
  <si>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</si>
  <si>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</si>
  <si>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</si>
  <si>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</si>
  <si>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</si>
  <si>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</si>
  <si>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</si>
  <si>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</si>
  <si>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</si>
  <si>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</si>
  <si>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</si>
  <si>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</si>
  <si>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</si>
  <si>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</si>
  <si>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</si>
  <si>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</si>
  <si>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</si>
  <si>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</si>
  <si>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</si>
  <si>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</si>
  <si>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</si>
  <si>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</si>
  <si>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</si>
  <si>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</si>
  <si>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</si>
  <si>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</si>
  <si>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</si>
  <si>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</si>
  <si>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</si>
  <si>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</si>
  <si>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</si>
  <si>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</si>
  <si>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</si>
  <si>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</si>
  <si>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</si>
  <si>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</si>
  <si>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</si>
  <si>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</si>
  <si>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</si>
  <si>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</si>
  <si>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</si>
  <si>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</si>
  <si>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</si>
  <si>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</si>
  <si>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</si>
  <si>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</si>
  <si>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</si>
  <si>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</si>
  <si>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</si>
  <si>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</si>
  <si>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</si>
  <si>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</si>
  <si>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</si>
  <si>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</si>
  <si>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</si>
  <si>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</si>
  <si>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</si>
  <si>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</si>
  <si>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</si>
  <si>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</si>
  <si>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</si>
  <si>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</si>
  <si>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</si>
  <si>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</si>
  <si>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</si>
  <si>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</si>
  <si>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</si>
  <si>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</si>
  <si>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</si>
  <si>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</si>
  <si>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</si>
  <si>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</si>
  <si>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</si>
  <si>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</si>
  <si>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</si>
  <si>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</si>
  <si>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</si>
  <si>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</si>
  <si>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</si>
  <si>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</si>
  <si>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</si>
  <si>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</si>
  <si>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</si>
  <si>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</si>
  <si>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</si>
  <si>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</si>
  <si>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</si>
  <si>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</si>
  <si>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</si>
  <si>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</si>
  <si>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</si>
  <si>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</si>
  <si>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</si>
  <si>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</si>
  <si>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</si>
  <si>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</si>
  <si>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</si>
  <si>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</si>
  <si>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</si>
  <si>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</si>
  <si>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</si>
  <si>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</si>
  <si>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</si>
  <si>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</si>
  <si>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</si>
  <si>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</si>
  <si>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</si>
  <si>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</si>
  <si>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</si>
  <si>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</si>
  <si>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</si>
  <si>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</si>
  <si>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</si>
  <si>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</si>
  <si>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</si>
  <si>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</si>
  <si>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</si>
  <si>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</si>
  <si>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</si>
  <si>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</si>
  <si>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</si>
  <si>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</si>
  <si>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</si>
  <si>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</si>
  <si>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</si>
  <si>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</si>
  <si>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</si>
  <si>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</si>
  <si>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</si>
  <si>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</si>
  <si>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</si>
  <si>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</si>
  <si>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</si>
  <si>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</si>
  <si>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</si>
  <si>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</si>
  <si>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</si>
  <si>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</si>
  <si>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</si>
  <si>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</si>
  <si>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</si>
  <si>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</si>
  <si>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</si>
  <si>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</si>
  <si>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</si>
  <si>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</si>
  <si>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</si>
  <si>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2 Registrert rekreasjonsfiske utgjør 43 tonn, men det legges til grunn at hele avsetningen tas</t>
  </si>
  <si>
    <t>4 Registrert rekreasjonsfiske utgjør 279 tonn, men det legges til grunn at hele avsetningen tas</t>
  </si>
  <si>
    <t>3 Registrert rekreasjonsfiske utgjør 627 tonn, men det legges til grunn at hele avsetningen tas</t>
  </si>
  <si>
    <t>FANGST UKE 29</t>
  </si>
  <si>
    <t>FANGST T.O.M UKE 29</t>
  </si>
  <si>
    <t>RESTKVOTER UKE 29</t>
  </si>
  <si>
    <t>FANGST T.O.M UKE 29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</si>
  <si>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1 288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</si>
</sst>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315" zoomScale="99" zoomScaleNormal="55" zoomScaleSheetLayoutView="100" zoomScalePageLayoutView="85" workbookViewId="0">
      <selection activeCell="I321" sqref="I321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13" t="s">
        <v>123</v>
      </c>
      <c r="C2" s="314"/>
      <c r="D2" s="314"/>
      <c r="E2" s="314"/>
      <c r="F2" s="314"/>
      <c r="G2" s="314"/>
      <c r="H2" s="314"/>
      <c r="I2" s="314"/>
      <c r="J2" s="315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25" t="s">
        <v>143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339.76350000000002</v>
      </c>
      <c r="G22" s="27">
        <f t="shared" si="0"/>
        <v>20814.363949999999</v>
      </c>
      <c r="H22" s="10">
        <f t="shared" si="0"/>
        <v>20771.636050000001</v>
      </c>
      <c r="I22" s="10">
        <f t="shared" si="0"/>
        <v>37807.146009999997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339.7635</f>
        <v>339.76350000000002</v>
      </c>
      <c r="G23" s="22">
        <f>20443.9043</f>
        <v>20443.904299999998</v>
      </c>
      <c r="H23" s="22">
        <f>E23-G23</f>
        <v>20379.095700000002</v>
      </c>
      <c r="I23" s="22">
        <f>37287.45793</f>
        <v>37287.457929999997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370.45965</f>
        <v>370.45965000000001</v>
      </c>
      <c r="H24" s="22">
        <f>E24-G24</f>
        <v>392.54034999999999</v>
      </c>
      <c r="I24" s="22">
        <f>519.68808</f>
        <v>519.68808000000001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652.69929000000002</v>
      </c>
      <c r="G25" s="10">
        <f t="shared" si="1"/>
        <v>100671.2439</v>
      </c>
      <c r="H25" s="10">
        <f t="shared" si="1"/>
        <v>20996.756099999999</v>
      </c>
      <c r="I25" s="10">
        <f t="shared" si="1"/>
        <v>119214.90604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586.75638000000004</v>
      </c>
      <c r="G26" s="129">
        <f>G27+G28+G29+G30+G31</f>
        <v>78882.446949999998</v>
      </c>
      <c r="H26" s="129">
        <f t="shared" ref="H26:I26" si="2">H27+H28+H29+H30+H31</f>
        <v>16010.55305</v>
      </c>
      <c r="I26" s="129">
        <f t="shared" si="2"/>
        <v>94596.846950000006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60.81157 - F55</f>
        <v>60.811570000000003</v>
      </c>
      <c r="G27" s="123">
        <f>22624.10231 - G55</f>
        <v>22624.102309999998</v>
      </c>
      <c r="H27" s="123">
        <f t="shared" ref="H27:H39" si="3">E27-G27</f>
        <v>2528.8976900000016</v>
      </c>
      <c r="I27" s="123">
        <f>25727.16829 - I55</f>
        <v>25727.168290000001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107.36781 - F56</f>
        <v>107.36781000000001</v>
      </c>
      <c r="G28" s="123">
        <f>22059.29072 - G56</f>
        <v>22059.290720000001</v>
      </c>
      <c r="H28" s="123">
        <f t="shared" si="3"/>
        <v>1934.7092799999991</v>
      </c>
      <c r="I28" s="123">
        <f>27140.01071 - I56</f>
        <v>27140.010709999999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162.05005 - F57</f>
        <v>162.05005</v>
      </c>
      <c r="G29" s="123">
        <f>21077.93792 - G57</f>
        <v>21077.93792</v>
      </c>
      <c r="H29" s="123">
        <f t="shared" si="3"/>
        <v>792.0620799999997</v>
      </c>
      <c r="I29" s="123">
        <f>25563.71507 - I57</f>
        <v>25563.715069999998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294.52695 - F58</f>
        <v>256.52695</v>
      </c>
      <c r="G30" s="123">
        <f>15062.116 - G58</f>
        <v>13121.116</v>
      </c>
      <c r="H30" s="123">
        <f t="shared" si="3"/>
        <v>2523.884</v>
      </c>
      <c r="I30" s="123">
        <f>18839.95288 - I58</f>
        <v>16165.952880000001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0</f>
        <v>0</v>
      </c>
      <c r="G32" s="129">
        <f>8903.76998</f>
        <v>8903.7699799999991</v>
      </c>
      <c r="H32" s="129">
        <f t="shared" si="3"/>
        <v>4775.2300200000009</v>
      </c>
      <c r="I32" s="129">
        <f>10288.03678</f>
        <v>10288.03678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65.942909999999998</v>
      </c>
      <c r="G33" s="129">
        <f>G34+G35</f>
        <v>12885.026970000001</v>
      </c>
      <c r="H33" s="129">
        <f t="shared" si="3"/>
        <v>210.9730299999992</v>
      </c>
      <c r="I33" s="129">
        <f>I34+I35</f>
        <v>14330.02231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65.94291 - F59 - F60</f>
        <v>65.942909999999998</v>
      </c>
      <c r="G34" s="129">
        <f>12885.02697 - G59 - G60</f>
        <v>12885.026970000001</v>
      </c>
      <c r="H34" s="123">
        <f t="shared" si="3"/>
        <v>-749.0269700000008</v>
      </c>
      <c r="I34" s="123">
        <f>14330.02231 - I59 - I60</f>
        <v>14330.02231</v>
      </c>
      <c r="J34" s="63"/>
    </row>
    <row r="35" spans="1:10" ht="14.15" customHeight="1" x14ac:dyDescent="0.3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34</v>
      </c>
      <c r="D37" s="140">
        <v>855</v>
      </c>
      <c r="E37" s="140">
        <v>855</v>
      </c>
      <c r="F37" s="95">
        <f>0.4642</f>
        <v>0.4642</v>
      </c>
      <c r="G37" s="95">
        <f>554.71245</f>
        <v>554.71244999999999</v>
      </c>
      <c r="H37" s="95">
        <f t="shared" si="3"/>
        <v>300.28755000000001</v>
      </c>
      <c r="I37" s="95">
        <f>465.27917</f>
        <v>465.27917000000002</v>
      </c>
      <c r="J37" s="267"/>
    </row>
    <row r="38" spans="1:10" ht="17.25" customHeight="1" x14ac:dyDescent="0.3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38</v>
      </c>
      <c r="G38" s="95">
        <f>G58</f>
        <v>1941</v>
      </c>
      <c r="H38" s="95">
        <f t="shared" si="3"/>
        <v>1059</v>
      </c>
      <c r="I38" s="95">
        <f>I58</f>
        <v>2674</v>
      </c>
      <c r="J38" s="267"/>
    </row>
    <row r="39" spans="1:10" ht="17.25" customHeight="1" x14ac:dyDescent="0.35">
      <c r="A39" s="1"/>
      <c r="B39" s="277"/>
      <c r="C39" s="70" t="s">
        <v>36</v>
      </c>
      <c r="D39" s="140">
        <v>7000</v>
      </c>
      <c r="E39" s="140">
        <v>7000</v>
      </c>
      <c r="F39" s="95">
        <f>20.57211</f>
        <v>20.572109999999999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38</v>
      </c>
      <c r="D40" s="140">
        <v>450</v>
      </c>
      <c r="E40" s="140">
        <v>450</v>
      </c>
      <c r="F40" s="95">
        <f>2.92825</f>
        <v>2.9282499999999998</v>
      </c>
      <c r="G40" s="95">
        <f>369.66598</f>
        <v>369.66597999999999</v>
      </c>
      <c r="H40" s="95">
        <f>E40-G40</f>
        <v>80.33402000000001</v>
      </c>
      <c r="I40" s="95">
        <f>324.04661</f>
        <v>324.04660999999999</v>
      </c>
      <c r="J40" s="267"/>
    </row>
    <row r="41" spans="1:10" ht="14.15" customHeight="1" x14ac:dyDescent="0.35">
      <c r="A41" s="1"/>
      <c r="B41" s="277"/>
      <c r="C41" s="70" t="s">
        <v>39</v>
      </c>
      <c r="D41" s="140"/>
      <c r="E41" s="136"/>
      <c r="F41" s="136">
        <f>0</f>
        <v>0</v>
      </c>
      <c r="G41" s="136">
        <f>79.65763</f>
        <v>79.657629999999997</v>
      </c>
      <c r="H41" s="136">
        <f t="shared" ref="H41" si="4">E41-G41</f>
        <v>-79.657629999999997</v>
      </c>
      <c r="I41" s="136">
        <f>85.43626</f>
        <v>85.436260000000004</v>
      </c>
      <c r="J41" s="267"/>
    </row>
    <row r="42" spans="1:10" ht="16.5" customHeight="1" x14ac:dyDescent="0.3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1054.4273499999999</v>
      </c>
      <c r="G42" s="73">
        <f t="shared" si="5"/>
        <v>131710.90031</v>
      </c>
      <c r="H42" s="73">
        <f t="shared" si="5"/>
        <v>43848.099690000003</v>
      </c>
      <c r="I42" s="73">
        <f t="shared" si="5"/>
        <v>167919.17528999998</v>
      </c>
      <c r="J42" s="267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8" t="s">
        <v>43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5" customHeight="1" x14ac:dyDescent="0.35">
      <c r="A52" s="101"/>
      <c r="B52" s="24"/>
      <c r="C52" s="15" t="s">
        <v>45</v>
      </c>
      <c r="D52" s="329">
        <v>7872</v>
      </c>
      <c r="E52" s="329">
        <v>8231</v>
      </c>
      <c r="F52" s="10">
        <f>F56+F55+F54+F53</f>
        <v>0</v>
      </c>
      <c r="G52" s="10">
        <f>G56+G55+G54+G53</f>
        <v>0</v>
      </c>
      <c r="H52" s="329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330"/>
      <c r="E53" s="330"/>
      <c r="F53" s="123"/>
      <c r="G53" s="123"/>
      <c r="H53" s="330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330"/>
      <c r="E54" s="330"/>
      <c r="F54" s="123"/>
      <c r="G54" s="123"/>
      <c r="H54" s="330"/>
      <c r="I54" s="123"/>
      <c r="J54" s="267"/>
    </row>
    <row r="55" spans="1:10" ht="14.15" customHeight="1" x14ac:dyDescent="0.35">
      <c r="A55" s="101"/>
      <c r="B55" s="24"/>
      <c r="C55" s="60" t="s">
        <v>26</v>
      </c>
      <c r="D55" s="330"/>
      <c r="E55" s="330"/>
      <c r="F55" s="123"/>
      <c r="G55" s="123"/>
      <c r="H55" s="330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331"/>
      <c r="E56" s="331"/>
      <c r="F56" s="186"/>
      <c r="G56" s="186"/>
      <c r="H56" s="331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38</v>
      </c>
      <c r="G58" s="136">
        <v>1941</v>
      </c>
      <c r="H58" s="136">
        <f>E58-G58</f>
        <v>1059</v>
      </c>
      <c r="I58" s="136">
        <v>2674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3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37.560070000000003</v>
      </c>
      <c r="G79" s="10">
        <f t="shared" si="6"/>
        <v>19580.537110000001</v>
      </c>
      <c r="H79" s="10">
        <f t="shared" si="6"/>
        <v>6560.4628899999989</v>
      </c>
      <c r="I79" s="10">
        <f t="shared" si="6"/>
        <v>23262.86968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37.56007</f>
        <v>37.560070000000003</v>
      </c>
      <c r="G80" s="22">
        <f>19143.37409</f>
        <v>19143.374090000001</v>
      </c>
      <c r="H80" s="22">
        <f>E80-G80</f>
        <v>6172.6259099999988</v>
      </c>
      <c r="I80" s="22">
        <f>22484.63243</f>
        <v>22484.632430000001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437.16302</f>
        <v>437.16302000000002</v>
      </c>
      <c r="H81" s="48">
        <f>E81-G81</f>
        <v>387.83697999999998</v>
      </c>
      <c r="I81" s="48">
        <f>778.23725</f>
        <v>778.23725000000002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692.68986999999993</v>
      </c>
      <c r="G82" s="10">
        <f t="shared" si="7"/>
        <v>27012.858360000002</v>
      </c>
      <c r="H82" s="10">
        <f t="shared" si="7"/>
        <v>17116.141640000002</v>
      </c>
      <c r="I82" s="10">
        <f t="shared" si="7"/>
        <v>33624.746220000001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680.42908999999997</v>
      </c>
      <c r="G83" s="129">
        <f t="shared" si="8"/>
        <v>21328.47812</v>
      </c>
      <c r="H83" s="129">
        <f t="shared" si="8"/>
        <v>11176.52188</v>
      </c>
      <c r="I83" s="129">
        <f t="shared" si="8"/>
        <v>26717.535460000003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9.41623</f>
        <v>9.4162300000000005</v>
      </c>
      <c r="G84" s="123">
        <f>2986.42561</f>
        <v>2986.4256099999998</v>
      </c>
      <c r="H84" s="123">
        <f t="shared" ref="H84:H91" si="9">E84-G84</f>
        <v>6017.5743899999998</v>
      </c>
      <c r="I84" s="123">
        <f>4246.87505</f>
        <v>4246.8750499999996</v>
      </c>
      <c r="J84" s="267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87.29479</f>
        <v>87.294790000000006</v>
      </c>
      <c r="G85" s="123">
        <f>5651.87303</f>
        <v>5651.8730299999997</v>
      </c>
      <c r="H85" s="123">
        <f t="shared" si="9"/>
        <v>3423.1269700000003</v>
      </c>
      <c r="I85" s="123">
        <f>8914.34365</f>
        <v>8914.3436500000007</v>
      </c>
      <c r="J85" s="267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63.81542</f>
        <v>63.815420000000003</v>
      </c>
      <c r="G86" s="123">
        <f>6804.15221</f>
        <v>6804.1522100000002</v>
      </c>
      <c r="H86" s="123">
        <f t="shared" si="9"/>
        <v>1844.8477899999998</v>
      </c>
      <c r="I86" s="123">
        <f>8422.77575</f>
        <v>8422.7757500000007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519.90265</f>
        <v>519.90264999999999</v>
      </c>
      <c r="G87" s="123">
        <f>5886.02727</f>
        <v>5886.0272699999996</v>
      </c>
      <c r="H87" s="123">
        <f t="shared" si="9"/>
        <v>-109.02726999999959</v>
      </c>
      <c r="I87" s="123">
        <f>5133.54101</f>
        <v>5133.5410099999999</v>
      </c>
      <c r="J87" s="267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0</f>
        <v>0</v>
      </c>
      <c r="G88" s="129">
        <f>4452.9261</f>
        <v>4452.9260999999997</v>
      </c>
      <c r="H88" s="129">
        <f t="shared" si="9"/>
        <v>3664.0739000000003</v>
      </c>
      <c r="I88" s="129">
        <f>5010.71312</f>
        <v>5010.7131200000003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12.26078</f>
        <v>12.26078</v>
      </c>
      <c r="G89" s="72">
        <f>1231.45414</f>
        <v>1231.4541400000001</v>
      </c>
      <c r="H89" s="72">
        <f t="shared" si="9"/>
        <v>2275.5458600000002</v>
      </c>
      <c r="I89" s="72">
        <f>1896.49764</f>
        <v>1896.49764</v>
      </c>
      <c r="J89" s="267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</f>
        <v>0</v>
      </c>
      <c r="G90" s="95">
        <f>29.07267</f>
        <v>29.072669999999999</v>
      </c>
      <c r="H90" s="95">
        <f t="shared" si="9"/>
        <v>289.92732999999998</v>
      </c>
      <c r="I90" s="95">
        <f>36.10176</f>
        <v>36.101759999999999</v>
      </c>
      <c r="J90" s="267"/>
    </row>
    <row r="91" spans="1:10" ht="18" customHeight="1" x14ac:dyDescent="0.35">
      <c r="A91" s="1"/>
      <c r="B91" s="277"/>
      <c r="C91" s="70" t="s">
        <v>54</v>
      </c>
      <c r="D91" s="140">
        <v>300</v>
      </c>
      <c r="E91" s="140">
        <v>300</v>
      </c>
      <c r="F91" s="136">
        <f>1.36247</f>
        <v>1.3624700000000001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38</v>
      </c>
      <c r="D92" s="140">
        <v>50</v>
      </c>
      <c r="E92" s="140">
        <v>50</v>
      </c>
      <c r="F92" s="95">
        <f>0.00376</f>
        <v>3.7599999999999999E-3</v>
      </c>
      <c r="G92" s="95">
        <f>12.0597</f>
        <v>12.059699999999999</v>
      </c>
      <c r="H92" s="136">
        <f>E92-G92</f>
        <v>37.940300000000001</v>
      </c>
      <c r="I92" s="95">
        <f>20.77616</f>
        <v>20.776160000000001</v>
      </c>
      <c r="J92" s="267"/>
    </row>
    <row r="93" spans="1:10" ht="18" customHeight="1" x14ac:dyDescent="0.35">
      <c r="A93" s="1"/>
      <c r="B93" s="277"/>
      <c r="C93" s="89" t="s">
        <v>55</v>
      </c>
      <c r="D93" s="140"/>
      <c r="E93" s="136"/>
      <c r="F93" s="136">
        <f>0</f>
        <v>0</v>
      </c>
      <c r="G93" s="136">
        <f>11.8759</f>
        <v>11.8759</v>
      </c>
      <c r="H93" s="136">
        <f t="shared" ref="H93" si="10">E93-G93</f>
        <v>-11.8759</v>
      </c>
      <c r="I93" s="136">
        <f>16.07232</f>
        <v>16.072320000000001</v>
      </c>
      <c r="J93" s="267"/>
    </row>
    <row r="94" spans="1:10" ht="16.5" customHeight="1" x14ac:dyDescent="0.3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731.61617000000001</v>
      </c>
      <c r="G94" s="73">
        <f t="shared" si="12"/>
        <v>46946.403740000002</v>
      </c>
      <c r="H94" s="73">
        <f t="shared" si="12"/>
        <v>23992.596259999998</v>
      </c>
      <c r="I94" s="73">
        <f t="shared" si="12"/>
        <v>57260.566140000003</v>
      </c>
      <c r="J94" s="267"/>
    </row>
    <row r="95" spans="1:10" ht="13.5" customHeight="1" x14ac:dyDescent="0.35">
      <c r="A95" s="1"/>
      <c r="B95" s="277"/>
      <c r="C95" s="74" t="s">
        <v>126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158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5" customHeight="1" x14ac:dyDescent="0.35">
      <c r="A115" s="1"/>
      <c r="B115" s="277"/>
      <c r="C115" s="15" t="s">
        <v>62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581.46505000000002</v>
      </c>
      <c r="G115" s="10">
        <f t="shared" si="13"/>
        <v>32513.066099999996</v>
      </c>
      <c r="H115" s="10">
        <f t="shared" si="13"/>
        <v>38501.933899999996</v>
      </c>
      <c r="I115" s="10">
        <f t="shared" si="13"/>
        <v>40444.239519999996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56450</v>
      </c>
      <c r="F116" s="22">
        <f>581.46505</f>
        <v>581.46505000000002</v>
      </c>
      <c r="G116" s="22">
        <f>29058.12161</f>
        <v>29058.121609999998</v>
      </c>
      <c r="H116" s="22">
        <f>E116-G116</f>
        <v>27391.878390000002</v>
      </c>
      <c r="I116" s="22">
        <f>36014.79922</f>
        <v>36014.799220000001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3389.58689</f>
        <v>3389.58689</v>
      </c>
      <c r="H117" s="22">
        <f>E117-G117</f>
        <v>10675.41311</v>
      </c>
      <c r="I117" s="22">
        <f>4363.99015</f>
        <v>4363.9901499999996</v>
      </c>
      <c r="J117" s="267"/>
    </row>
    <row r="118" spans="1:10" ht="13.5" customHeight="1" x14ac:dyDescent="0.3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51430</v>
      </c>
      <c r="F119" s="92">
        <f>994.7361</f>
        <v>994.73609999999996</v>
      </c>
      <c r="G119" s="92">
        <f>24593.3059+1287.915</f>
        <v>25881.2209</v>
      </c>
      <c r="H119" s="92">
        <f>E119-G119</f>
        <v>25548.7791</v>
      </c>
      <c r="I119" s="92">
        <f>9303.4568</f>
        <v>9303.4567999999999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409.85359000000005</v>
      </c>
      <c r="G120" s="91">
        <f t="shared" ref="G120" si="14">G121+G126+G129</f>
        <v>37105.091280000008</v>
      </c>
      <c r="H120" s="91">
        <f>H121+H126+H129</f>
        <v>37939.908719999999</v>
      </c>
      <c r="I120" s="91">
        <f>I121+I126+I129</f>
        <v>51495.34895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56359</v>
      </c>
      <c r="F121" s="121">
        <f>F122+F123+F124+F125</f>
        <v>331.92341000000005</v>
      </c>
      <c r="G121" s="121">
        <f>G122+G123+G125+G124</f>
        <v>27467.460060000001</v>
      </c>
      <c r="H121" s="121">
        <f>H122+H123+H124+H125</f>
        <v>28891.539940000002</v>
      </c>
      <c r="I121" s="121">
        <f>I122+I123+I124+I125</f>
        <v>38594.455759999997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16016</v>
      </c>
      <c r="F122" s="123">
        <f>94.80222</f>
        <v>94.802220000000005</v>
      </c>
      <c r="G122" s="123">
        <f>6491.38988</f>
        <v>6491.3898799999997</v>
      </c>
      <c r="H122" s="123">
        <f>E122-G122</f>
        <v>9524.6101200000012</v>
      </c>
      <c r="I122" s="123">
        <f>7186.57206</f>
        <v>7186.5720600000004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14854</v>
      </c>
      <c r="F123" s="123">
        <f>71.09578</f>
        <v>71.095780000000005</v>
      </c>
      <c r="G123" s="123">
        <f>8208.56845-16.5514</f>
        <v>8192.0170500000004</v>
      </c>
      <c r="H123" s="123">
        <f>E123-G123</f>
        <v>6661.9829499999996</v>
      </c>
      <c r="I123" s="123">
        <f>10784.97267</f>
        <v>10784.972669999999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12872</v>
      </c>
      <c r="F124" s="123">
        <f>66.33401</f>
        <v>66.334010000000006</v>
      </c>
      <c r="G124" s="123">
        <f>6717.61447-8.9951</f>
        <v>6708.6193700000003</v>
      </c>
      <c r="H124" s="123">
        <f>E124-G124</f>
        <v>6163.3806299999997</v>
      </c>
      <c r="I124" s="123">
        <f>10463.27825</f>
        <v>10463.278249999999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12617</v>
      </c>
      <c r="F125" s="123">
        <f>99.6914</f>
        <v>99.691400000000002</v>
      </c>
      <c r="G125" s="123">
        <f>7337.80226-1262.3685</f>
        <v>6075.4337599999999</v>
      </c>
      <c r="H125" s="123">
        <f>E125-G125</f>
        <v>6541.5662400000001</v>
      </c>
      <c r="I125" s="123">
        <f>10159.63278</f>
        <v>10159.63278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7742</v>
      </c>
      <c r="F126" s="129">
        <f>SUM(F127:F128)</f>
        <v>0</v>
      </c>
      <c r="G126" s="129">
        <f>SUM(G127:G128)</f>
        <v>5875.4550600000002</v>
      </c>
      <c r="H126" s="129">
        <f>H127+H128</f>
        <v>1866.54494</v>
      </c>
      <c r="I126" s="129">
        <f>SUM(I127:I128)</f>
        <v>8845.7838499999998</v>
      </c>
      <c r="J126" s="130"/>
    </row>
    <row r="127" spans="1:10" ht="14.15" customHeight="1" x14ac:dyDescent="0.35">
      <c r="A127" s="1"/>
      <c r="B127" s="277"/>
      <c r="C127" s="60" t="s">
        <v>66</v>
      </c>
      <c r="D127" s="61">
        <v>6819</v>
      </c>
      <c r="E127" s="61">
        <v>7242</v>
      </c>
      <c r="F127" s="123">
        <f>0</f>
        <v>0</v>
      </c>
      <c r="G127" s="123">
        <f>5730.3431</f>
        <v>5730.3431</v>
      </c>
      <c r="H127" s="123">
        <f t="shared" ref="H127:H135" si="15">E127-G127</f>
        <v>1511.6569</v>
      </c>
      <c r="I127" s="123">
        <f>8454.19514</f>
        <v>8454.1951399999998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</f>
        <v>0</v>
      </c>
      <c r="G128" s="123">
        <f>145.11196</f>
        <v>145.11196000000001</v>
      </c>
      <c r="H128" s="123">
        <f t="shared" si="15"/>
        <v>354.88803999999999</v>
      </c>
      <c r="I128" s="123">
        <f>391.58871</f>
        <v>391.58870999999999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10944</v>
      </c>
      <c r="F129" s="72">
        <f>77.93018</f>
        <v>77.930179999999993</v>
      </c>
      <c r="G129" s="72">
        <f>3762.17616</f>
        <v>3762.17616</v>
      </c>
      <c r="H129" s="72">
        <f t="shared" si="15"/>
        <v>7181.82384</v>
      </c>
      <c r="I129" s="72">
        <f>4055.10934</f>
        <v>4055.10934</v>
      </c>
      <c r="J129" s="117"/>
    </row>
    <row r="130" spans="1:10" ht="15.75" customHeight="1" x14ac:dyDescent="0.35">
      <c r="A130" s="1"/>
      <c r="B130" s="277"/>
      <c r="C130" s="139" t="s">
        <v>34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35">
      <c r="A131" s="1"/>
      <c r="B131" s="277"/>
      <c r="C131" s="137" t="s">
        <v>68</v>
      </c>
      <c r="D131" s="86">
        <v>350</v>
      </c>
      <c r="E131" s="86">
        <v>350</v>
      </c>
      <c r="F131" s="95">
        <f>1.001</f>
        <v>1.0009999999999999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35">
      <c r="A132" s="1"/>
      <c r="B132" s="277"/>
      <c r="C132" s="137" t="s">
        <v>69</v>
      </c>
      <c r="D132" s="140">
        <v>2000</v>
      </c>
      <c r="E132" s="140">
        <v>2000</v>
      </c>
      <c r="F132" s="136">
        <f>26.78015</f>
        <v>26.780149999999999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70</v>
      </c>
      <c r="D134" s="140">
        <v>313</v>
      </c>
      <c r="E134" s="140">
        <v>313</v>
      </c>
      <c r="F134" s="95">
        <f>1.0366</f>
        <v>1.0366</v>
      </c>
      <c r="G134" s="95">
        <f>85.22055</f>
        <v>85.220550000000003</v>
      </c>
      <c r="H134" s="136">
        <f t="shared" si="15"/>
        <v>227.77945</v>
      </c>
      <c r="I134" s="95">
        <f>42.64808</f>
        <v>42.64808</v>
      </c>
      <c r="J134" s="117"/>
    </row>
    <row r="135" spans="1:10" ht="15" customHeight="1" x14ac:dyDescent="0.35">
      <c r="A135" s="1"/>
      <c r="B135" s="277"/>
      <c r="C135" s="139" t="s">
        <v>39</v>
      </c>
      <c r="D135" s="142"/>
      <c r="E135" s="140"/>
      <c r="F135" s="136">
        <f>0.2657</f>
        <v>0.26569999999999999</v>
      </c>
      <c r="G135" s="136">
        <f>77.04901</f>
        <v>77.049009999999996</v>
      </c>
      <c r="H135" s="136">
        <f t="shared" si="15"/>
        <v>-77.049009999999996</v>
      </c>
      <c r="I135" s="136">
        <f>113.51909</f>
        <v>113.51909000000001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2015.1381899999999</v>
      </c>
      <c r="G137" s="73">
        <f>G115+G119+G120+G130+G131+G132+G133+G134+G135</f>
        <v>97679.099340000015</v>
      </c>
      <c r="H137" s="73">
        <f>H115+H119+H120+H130+H131+H132+H133+H134+H135</f>
        <v>102619.90065999998</v>
      </c>
      <c r="I137" s="73">
        <f>I115+I119+I120+I130+I131+I132+I133+I134+I135</f>
        <v>103670.96098999999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5" customHeight="1" x14ac:dyDescent="0.35">
      <c r="A160" s="1"/>
      <c r="B160" s="277"/>
      <c r="C160" s="138" t="s">
        <v>74</v>
      </c>
      <c r="D160" s="91">
        <v>3762</v>
      </c>
      <c r="E160" s="297">
        <f>0</f>
        <v>0</v>
      </c>
      <c r="F160" s="297">
        <f>802.3486</f>
        <v>802.34860000000003</v>
      </c>
      <c r="G160" s="42">
        <f>D160-F160-F161</f>
        <v>1756.7350799999997</v>
      </c>
      <c r="H160" s="297">
        <f>746.99417</f>
        <v>746.99417000000005</v>
      </c>
      <c r="I160" s="1"/>
      <c r="J160" s="117"/>
    </row>
    <row r="161" spans="1:10" ht="14.15" customHeight="1" x14ac:dyDescent="0.35">
      <c r="A161" s="1"/>
      <c r="B161" s="277"/>
      <c r="C161" s="133" t="s">
        <v>53</v>
      </c>
      <c r="D161" s="175"/>
      <c r="E161" s="148">
        <f>0</f>
        <v>0</v>
      </c>
      <c r="F161" s="148">
        <f>1202.91632</f>
        <v>1202.91632</v>
      </c>
      <c r="G161" s="219"/>
      <c r="H161" s="148">
        <f>1211.55776</f>
        <v>1211.5577599999999</v>
      </c>
      <c r="I161" s="1"/>
      <c r="J161" s="117"/>
    </row>
    <row r="162" spans="1:10" ht="15.65" customHeight="1" x14ac:dyDescent="0.35">
      <c r="A162" s="1"/>
      <c r="B162" s="277"/>
      <c r="C162" s="163" t="s">
        <v>75</v>
      </c>
      <c r="D162" s="95">
        <v>200</v>
      </c>
      <c r="E162" s="166">
        <f>0</f>
        <v>0</v>
      </c>
      <c r="F162" s="166">
        <f>71.30106</f>
        <v>71.301060000000007</v>
      </c>
      <c r="G162" s="166">
        <f>D162-F162</f>
        <v>128.69893999999999</v>
      </c>
      <c r="H162" s="166">
        <f>82.16938</f>
        <v>82.169380000000004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50.108719999999998</v>
      </c>
      <c r="F163" s="175">
        <f>F164+F165+F166</f>
        <v>4810.3828000000003</v>
      </c>
      <c r="G163" s="175">
        <f>D163-F163</f>
        <v>831.61719999999968</v>
      </c>
      <c r="H163" s="175">
        <f>H164+H165+H166</f>
        <v>3843.2871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18.44476</f>
        <v>18.444759999999999</v>
      </c>
      <c r="F164" s="123">
        <f>2741.39289</f>
        <v>2741.3928900000001</v>
      </c>
      <c r="G164" s="123"/>
      <c r="H164" s="123">
        <f>1849.12814</f>
        <v>1849.12814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31.66196</f>
        <v>31.661960000000001</v>
      </c>
      <c r="F165" s="123">
        <f>1385.43999</f>
        <v>1385.4399900000001</v>
      </c>
      <c r="G165" s="123"/>
      <c r="H165" s="123">
        <f>1207.98262</f>
        <v>1207.98262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0.002</f>
        <v>2E-3</v>
      </c>
      <c r="F166" s="186">
        <f>683.54992</f>
        <v>683.54992000000004</v>
      </c>
      <c r="G166" s="186"/>
      <c r="H166" s="186">
        <f>786.17634</f>
        <v>786.17633999999998</v>
      </c>
      <c r="I166" s="181"/>
      <c r="J166" s="182"/>
    </row>
    <row r="167" spans="1:10" ht="14.15" customHeight="1" x14ac:dyDescent="0.35">
      <c r="A167" s="1"/>
      <c r="B167" s="277"/>
      <c r="C167" s="70" t="s">
        <v>80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50.108719999999998</v>
      </c>
      <c r="F169" s="188">
        <f>F160+F161+F162+F163+F167+F168</f>
        <v>6892.3018800000009</v>
      </c>
      <c r="G169" s="188">
        <f>D169-F169</f>
        <v>2782.6981199999991</v>
      </c>
      <c r="H169" s="188">
        <f>H160+H161+H162+H163+H167+H168</f>
        <v>5884.0084100000004</v>
      </c>
      <c r="I169" s="159"/>
      <c r="J169" s="155"/>
    </row>
    <row r="170" spans="1:10" ht="42" customHeight="1" x14ac:dyDescent="0.3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7.24379</f>
        <v>7.2437899999999997</v>
      </c>
      <c r="G189" s="124">
        <f>41839.08879</f>
        <v>41839.088790000002</v>
      </c>
      <c r="H189" s="124">
        <f>D189-G189</f>
        <v>2302.9112099999984</v>
      </c>
      <c r="I189" s="124">
        <f>37166.63052</f>
        <v>37166.630519999999</v>
      </c>
      <c r="J189" s="117"/>
    </row>
    <row r="190" spans="1:10" ht="15" customHeight="1" x14ac:dyDescent="0.35">
      <c r="A190" s="1"/>
      <c r="B190" s="277"/>
      <c r="C190" s="90" t="s">
        <v>67</v>
      </c>
      <c r="D190" s="124">
        <v>100</v>
      </c>
      <c r="E190" s="124">
        <v>100</v>
      </c>
      <c r="F190" s="124">
        <f>0.1729</f>
        <v>0.1729</v>
      </c>
      <c r="G190" s="124">
        <f>30.11964</f>
        <v>30.11964</v>
      </c>
      <c r="H190" s="124">
        <f>D190-G190</f>
        <v>69.880359999999996</v>
      </c>
      <c r="I190" s="124">
        <f>25.62378</f>
        <v>25.62378</v>
      </c>
      <c r="J190" s="117"/>
    </row>
    <row r="191" spans="1:10" ht="15.75" customHeight="1" x14ac:dyDescent="0.3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7.41669</v>
      </c>
      <c r="G192" s="190">
        <f>SUM(G189:G191)</f>
        <v>41869.208429999999</v>
      </c>
      <c r="H192" s="190">
        <f>D192-G192</f>
        <v>2408.7915700000012</v>
      </c>
      <c r="I192" s="190">
        <f>SUM(I189:I191)</f>
        <v>37192.254300000001</v>
      </c>
      <c r="J192" s="117"/>
    </row>
    <row r="193" spans="1:10" ht="12" customHeight="1" x14ac:dyDescent="0.3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35">
      <c r="A202" s="1"/>
      <c r="B202" s="277"/>
      <c r="C202" s="90" t="s">
        <v>116</v>
      </c>
      <c r="D202" s="124">
        <v>3987</v>
      </c>
      <c r="E202" s="72">
        <f>E203+E204</f>
        <v>18.793340000000001</v>
      </c>
      <c r="F202" s="72">
        <f>F203+F204</f>
        <v>2900.9625500000002</v>
      </c>
      <c r="G202" s="72">
        <f>D202-F202</f>
        <v>1086.0374499999998</v>
      </c>
      <c r="H202" s="72">
        <f>H203+H204</f>
        <v>3440.5703899999999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9.0412</f>
        <v>9.0411999999999999</v>
      </c>
      <c r="F203" s="72">
        <f>2326.18071</f>
        <v>2326.1807100000001</v>
      </c>
      <c r="G203" s="72"/>
      <c r="H203" s="72">
        <f>2945.5155</f>
        <v>2945.5155</v>
      </c>
      <c r="I203" s="271"/>
      <c r="J203" s="117"/>
    </row>
    <row r="204" spans="1:10" ht="15" customHeight="1" x14ac:dyDescent="0.35">
      <c r="A204" s="1"/>
      <c r="B204" s="277"/>
      <c r="C204" s="172" t="s">
        <v>67</v>
      </c>
      <c r="D204" s="124"/>
      <c r="E204" s="124">
        <f>9.75214</f>
        <v>9.7521400000000007</v>
      </c>
      <c r="F204" s="124">
        <f>574.78184</f>
        <v>574.78183999999999</v>
      </c>
      <c r="G204" s="168"/>
      <c r="H204" s="124">
        <f>495.05489</f>
        <v>495.05489</v>
      </c>
      <c r="I204" s="271"/>
      <c r="J204" s="117"/>
    </row>
    <row r="205" spans="1:10" ht="15" customHeight="1" x14ac:dyDescent="0.35">
      <c r="A205" s="1"/>
      <c r="B205" s="277"/>
      <c r="C205" s="90" t="s">
        <v>117</v>
      </c>
      <c r="D205" s="124">
        <v>4613</v>
      </c>
      <c r="E205" s="72">
        <f>9.08987</f>
        <v>9.0898699999999995</v>
      </c>
      <c r="F205" s="72">
        <f>4058.26939</f>
        <v>4058.2693899999999</v>
      </c>
      <c r="G205" s="72">
        <f>D205-F205</f>
        <v>554.73061000000007</v>
      </c>
      <c r="H205" s="72">
        <f>4759.17077</f>
        <v>4759.1707699999997</v>
      </c>
      <c r="I205" s="271"/>
      <c r="J205" s="117"/>
    </row>
    <row r="206" spans="1:10" ht="16.5" customHeight="1" x14ac:dyDescent="0.35">
      <c r="A206" s="1"/>
      <c r="B206" s="277"/>
      <c r="C206" s="179" t="s">
        <v>86</v>
      </c>
      <c r="D206" s="190">
        <f>D205+D202</f>
        <v>8600</v>
      </c>
      <c r="E206" s="190">
        <f>SUM(E202,E205)</f>
        <v>27.883209999999998</v>
      </c>
      <c r="F206" s="190">
        <f>SUM(F202,F205)</f>
        <v>6959.2319399999997</v>
      </c>
      <c r="G206" s="190">
        <f>D206-F206</f>
        <v>1640.7680600000003</v>
      </c>
      <c r="H206" s="190">
        <f>SUM(H202,H205)</f>
        <v>8199.7411599999996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35">
      <c r="A215" s="1"/>
      <c r="B215" s="277"/>
      <c r="C215" s="90" t="s">
        <v>116</v>
      </c>
      <c r="D215" s="124">
        <v>5090</v>
      </c>
      <c r="E215" s="72">
        <f>E216+E217</f>
        <v>23.204080000000001</v>
      </c>
      <c r="F215" s="72">
        <f>F216+F217</f>
        <v>3637.50477</v>
      </c>
      <c r="G215" s="72">
        <f>D215-F215</f>
        <v>1452.49523</v>
      </c>
      <c r="H215" s="72">
        <f>H216+H217</f>
        <v>3945.9177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18.8762</f>
        <v>18.876200000000001</v>
      </c>
      <c r="F216" s="72">
        <f>3336.42033</f>
        <v>3336.4203299999999</v>
      </c>
      <c r="G216" s="72"/>
      <c r="H216" s="72">
        <f>3522.45249</f>
        <v>3522.4524900000001</v>
      </c>
      <c r="I216" s="271"/>
      <c r="J216" s="117"/>
    </row>
    <row r="217" spans="1:10" ht="15" customHeight="1" x14ac:dyDescent="0.35">
      <c r="A217" s="1"/>
      <c r="B217" s="277"/>
      <c r="C217" s="172" t="s">
        <v>67</v>
      </c>
      <c r="D217" s="124"/>
      <c r="E217" s="124">
        <f>4.32788</f>
        <v>4.3278800000000004</v>
      </c>
      <c r="F217" s="124">
        <f>301.08444</f>
        <v>301.08443999999997</v>
      </c>
      <c r="G217" s="168"/>
      <c r="H217" s="124">
        <f>423.46521</f>
        <v>423.46521000000001</v>
      </c>
      <c r="I217" s="271"/>
      <c r="J217" s="117"/>
    </row>
    <row r="218" spans="1:10" ht="15" customHeight="1" x14ac:dyDescent="0.35">
      <c r="A218" s="1"/>
      <c r="B218" s="277"/>
      <c r="C218" s="90" t="s">
        <v>117</v>
      </c>
      <c r="D218" s="124">
        <v>2981</v>
      </c>
      <c r="E218" s="72">
        <f>19.59864</f>
        <v>19.59864</v>
      </c>
      <c r="F218" s="72">
        <f>1678.68565</f>
        <v>1678.6856499999999</v>
      </c>
      <c r="G218" s="72">
        <f>D218-F218</f>
        <v>1302.3143500000001</v>
      </c>
      <c r="H218" s="72">
        <f>2089.33043</f>
        <v>2089.33043</v>
      </c>
      <c r="I218" s="271"/>
      <c r="J218" s="117"/>
    </row>
    <row r="219" spans="1:10" ht="16.5" customHeight="1" x14ac:dyDescent="0.35">
      <c r="A219" s="1"/>
      <c r="B219" s="277"/>
      <c r="C219" s="179" t="s">
        <v>86</v>
      </c>
      <c r="D219" s="190">
        <f>D218+D215</f>
        <v>8071</v>
      </c>
      <c r="E219" s="190">
        <f>SUM(E215,E218)</f>
        <v>42.802720000000001</v>
      </c>
      <c r="F219" s="190">
        <f>SUM(F215,F218)</f>
        <v>5316.1904199999999</v>
      </c>
      <c r="G219" s="190">
        <f>D219-F219</f>
        <v>2754.8095800000001</v>
      </c>
      <c r="H219" s="190">
        <f>SUM(H215,H218)</f>
        <v>6035.2481299999999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11.00821</f>
        <v>11.00821</v>
      </c>
      <c r="F237" s="124">
        <f>284.26396</f>
        <v>284.26396</v>
      </c>
      <c r="G237" s="124">
        <f>D237-F237</f>
        <v>515.73604</v>
      </c>
      <c r="H237" s="124">
        <f>386.09694</f>
        <v>386.09694000000002</v>
      </c>
      <c r="I237" s="65"/>
      <c r="J237" s="267"/>
    </row>
    <row r="238" spans="1:10" ht="14.15" customHeight="1" x14ac:dyDescent="0.35">
      <c r="A238" s="1"/>
      <c r="B238" s="277"/>
      <c r="C238" s="90" t="s">
        <v>93</v>
      </c>
      <c r="D238" s="269">
        <v>2193</v>
      </c>
      <c r="E238" s="124">
        <f>16.37619</f>
        <v>16.376190000000001</v>
      </c>
      <c r="F238" s="124">
        <f>556.54099</f>
        <v>556.54098999999997</v>
      </c>
      <c r="G238" s="124">
        <f>D238-F238</f>
        <v>1636.45901</v>
      </c>
      <c r="H238" s="124">
        <f>1284.01862</f>
        <v>1284.0186200000001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69">
        <v>10</v>
      </c>
      <c r="E239" s="168">
        <f>0</f>
        <v>0</v>
      </c>
      <c r="F239" s="168">
        <f>0.82114</f>
        <v>0.82113999999999998</v>
      </c>
      <c r="G239" s="124">
        <f>D239-F239</f>
        <v>9.1788600000000002</v>
      </c>
      <c r="H239" s="168">
        <f>3.60962</f>
        <v>3.6096200000000001</v>
      </c>
      <c r="I239" s="65"/>
      <c r="J239" s="272"/>
    </row>
    <row r="240" spans="1:10" ht="18.75" customHeight="1" x14ac:dyDescent="0.35">
      <c r="A240" s="65"/>
      <c r="B240" s="273"/>
      <c r="C240" s="146" t="s">
        <v>94</v>
      </c>
      <c r="D240" s="245"/>
      <c r="E240" s="168">
        <f>0</f>
        <v>0</v>
      </c>
      <c r="F240" s="168">
        <f>2.37828</f>
        <v>2.3782800000000002</v>
      </c>
      <c r="G240" s="124">
        <f>D240-F240</f>
        <v>-2.3782800000000002</v>
      </c>
      <c r="H240" s="168">
        <f>0.091</f>
        <v>9.0999999999999998E-2</v>
      </c>
      <c r="I240" s="305"/>
      <c r="J240" s="117"/>
    </row>
    <row r="241" spans="1:10" ht="14.15" customHeight="1" x14ac:dyDescent="0.35">
      <c r="A241" s="1"/>
      <c r="B241" s="277"/>
      <c r="C241" s="179" t="s">
        <v>86</v>
      </c>
      <c r="D241" s="5">
        <f>D226</f>
        <v>3003</v>
      </c>
      <c r="E241" s="190">
        <f>SUM(E237:E240)</f>
        <v>27.384399999999999</v>
      </c>
      <c r="F241" s="190">
        <f>SUM(F237:F240)</f>
        <v>844.00436999999999</v>
      </c>
      <c r="G241" s="190">
        <f>D241-F241</f>
        <v>2158.9956299999999</v>
      </c>
      <c r="H241" s="190">
        <f>H237+H238+H239+H240</f>
        <v>1673.81618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136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388.87744000000004</v>
      </c>
      <c r="G262" s="276">
        <f t="shared" si="17"/>
        <v>6992.1042200000002</v>
      </c>
      <c r="H262" s="276">
        <f>H266+H265+H264+H263</f>
        <v>20743.895779999999</v>
      </c>
      <c r="I262" s="276">
        <f t="shared" si="17"/>
        <v>8088.3158400000002</v>
      </c>
      <c r="J262" s="127"/>
    </row>
    <row r="263" spans="1:10" ht="14.15" customHeight="1" x14ac:dyDescent="0.35">
      <c r="A263" s="223"/>
      <c r="B263" s="69"/>
      <c r="C263" s="278" t="s">
        <v>102</v>
      </c>
      <c r="D263" s="279">
        <v>14132</v>
      </c>
      <c r="E263" s="279">
        <v>16670</v>
      </c>
      <c r="F263" s="280">
        <f>320.89595</f>
        <v>320.89595000000003</v>
      </c>
      <c r="G263" s="280">
        <f>2540.12839</f>
        <v>2540.1283899999999</v>
      </c>
      <c r="H263" s="280">
        <f t="shared" ref="H263:H267" si="18">E263-G263</f>
        <v>14129.87161</v>
      </c>
      <c r="I263" s="280">
        <f>4577.59136</f>
        <v>4577.5913600000003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701.78751</f>
        <v>701.78751</v>
      </c>
      <c r="H264" s="280">
        <f t="shared" si="18"/>
        <v>3637.2124899999999</v>
      </c>
      <c r="I264" s="280">
        <f>912.4407</f>
        <v>912.44069999999999</v>
      </c>
      <c r="J264" s="127"/>
    </row>
    <row r="265" spans="1:10" ht="14.15" customHeight="1" x14ac:dyDescent="0.35">
      <c r="A265" s="223"/>
      <c r="B265" s="69"/>
      <c r="C265" s="282" t="s">
        <v>99</v>
      </c>
      <c r="D265" s="279">
        <v>1506</v>
      </c>
      <c r="E265" s="279">
        <v>1571</v>
      </c>
      <c r="F265" s="280">
        <f>6.59689</f>
        <v>6.5968900000000001</v>
      </c>
      <c r="G265" s="280">
        <f>1120.21633</f>
        <v>1120.21633</v>
      </c>
      <c r="H265" s="280">
        <f t="shared" si="18"/>
        <v>450.78367000000003</v>
      </c>
      <c r="I265" s="280">
        <f>1299.59852</f>
        <v>1299.59852</v>
      </c>
      <c r="J265" s="127"/>
    </row>
    <row r="266" spans="1:10" ht="14.15" customHeight="1" x14ac:dyDescent="0.35">
      <c r="A266" s="223"/>
      <c r="B266" s="69"/>
      <c r="C266" s="284" t="s">
        <v>122</v>
      </c>
      <c r="D266" s="285">
        <v>5043</v>
      </c>
      <c r="E266" s="285">
        <v>5156</v>
      </c>
      <c r="F266" s="280">
        <f>61.3846</f>
        <v>61.384599999999999</v>
      </c>
      <c r="G266" s="280">
        <f>2629.97199</f>
        <v>2629.97199</v>
      </c>
      <c r="H266" s="280">
        <f t="shared" si="18"/>
        <v>2526.02801</v>
      </c>
      <c r="I266" s="280">
        <f>1298.68526</f>
        <v>1298.68526</v>
      </c>
      <c r="J266" s="127"/>
    </row>
    <row r="267" spans="1:10" ht="14.15" customHeight="1" x14ac:dyDescent="0.35">
      <c r="A267" s="223"/>
      <c r="B267" s="69"/>
      <c r="C267" s="287" t="s">
        <v>59</v>
      </c>
      <c r="D267" s="288">
        <v>5500</v>
      </c>
      <c r="E267" s="288">
        <v>5500</v>
      </c>
      <c r="F267" s="290">
        <f>0</f>
        <v>0</v>
      </c>
      <c r="G267" s="290">
        <f>4094.97424</f>
        <v>4094.97424</v>
      </c>
      <c r="H267" s="290">
        <f t="shared" si="18"/>
        <v>1405.02576</v>
      </c>
      <c r="I267" s="290">
        <f>2083.73278</f>
        <v>2083.7327799999998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9.5909300000000002</v>
      </c>
      <c r="G268" s="291">
        <f>G270+G269</f>
        <v>1425.9109100000001</v>
      </c>
      <c r="H268" s="291">
        <f>E268-G268</f>
        <v>6574.0890899999995</v>
      </c>
      <c r="I268" s="291">
        <f>I270+I269</f>
        <v>1840.3010800000002</v>
      </c>
      <c r="J268" s="127"/>
    </row>
    <row r="269" spans="1:10" ht="14.15" customHeight="1" x14ac:dyDescent="0.35">
      <c r="A269" s="223"/>
      <c r="B269" s="69"/>
      <c r="C269" s="282" t="s">
        <v>53</v>
      </c>
      <c r="D269" s="293"/>
      <c r="E269" s="279"/>
      <c r="F269" s="280">
        <f>0.21156</f>
        <v>0.21156</v>
      </c>
      <c r="G269" s="280">
        <f>464.07102</f>
        <v>464.07101999999998</v>
      </c>
      <c r="H269" s="280"/>
      <c r="I269" s="280">
        <f>599.85695</f>
        <v>599.85694999999998</v>
      </c>
      <c r="J269" s="127"/>
    </row>
    <row r="270" spans="1:10" ht="14.15" customHeight="1" x14ac:dyDescent="0.35">
      <c r="A270" s="223"/>
      <c r="B270" s="69"/>
      <c r="C270" s="295" t="s">
        <v>103</v>
      </c>
      <c r="D270" s="296"/>
      <c r="E270" s="298"/>
      <c r="F270" s="299">
        <f>9.37937</f>
        <v>9.3793699999999998</v>
      </c>
      <c r="G270" s="299">
        <f>961.83989</f>
        <v>961.83988999999997</v>
      </c>
      <c r="H270" s="299"/>
      <c r="I270" s="299">
        <f>1240.44413</f>
        <v>1240.4441300000001</v>
      </c>
      <c r="J270" s="127"/>
    </row>
    <row r="271" spans="1:10" ht="14.15" customHeight="1" x14ac:dyDescent="0.3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5" customHeight="1" x14ac:dyDescent="0.35">
      <c r="A272" s="223"/>
      <c r="B272" s="69"/>
      <c r="C272" s="300" t="s">
        <v>104</v>
      </c>
      <c r="D272" s="303"/>
      <c r="E272" s="304"/>
      <c r="F272" s="290">
        <f>0.1536</f>
        <v>0.15359999999999999</v>
      </c>
      <c r="G272" s="290">
        <f>111.90432</f>
        <v>111.90432</v>
      </c>
      <c r="H272" s="290">
        <f>E272-G272</f>
        <v>-111.90432</v>
      </c>
      <c r="I272" s="290">
        <f>54.46168</f>
        <v>54.461680000000001</v>
      </c>
      <c r="J272" s="127"/>
    </row>
    <row r="273" spans="1:10" ht="19.5" customHeight="1" x14ac:dyDescent="0.3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398.62197000000003</v>
      </c>
      <c r="G273" s="308">
        <f t="shared" si="19"/>
        <v>12625.46219</v>
      </c>
      <c r="H273" s="308">
        <f>H262+H267+H268+H271+H272</f>
        <v>28623.537809999994</v>
      </c>
      <c r="I273" s="308">
        <f t="shared" si="19"/>
        <v>12066.92778</v>
      </c>
      <c r="J273" s="127"/>
    </row>
    <row r="274" spans="1:10" ht="14.15" customHeight="1" x14ac:dyDescent="0.3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130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112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90</v>
      </c>
      <c r="D285" s="46">
        <v>1549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49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24" t="s">
        <v>120</v>
      </c>
      <c r="D288" s="324"/>
      <c r="E288" s="324"/>
      <c r="F288" s="324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107</v>
      </c>
      <c r="D293" s="21" t="s">
        <v>108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5" customHeight="1" x14ac:dyDescent="0.35">
      <c r="A294" s="223"/>
      <c r="B294" s="69"/>
      <c r="C294" s="287" t="s">
        <v>109</v>
      </c>
      <c r="D294" s="197">
        <v>779</v>
      </c>
      <c r="E294" s="25">
        <f>SUM(E295:E296)</f>
        <v>75.180970000000002</v>
      </c>
      <c r="F294" s="25">
        <f>SUM(F295:F296)</f>
        <v>249.65156999999999</v>
      </c>
      <c r="G294" s="82">
        <f>D294-F294</f>
        <v>529.34843000000001</v>
      </c>
      <c r="H294" s="25">
        <f>SUM(H295:H296)</f>
        <v>226.87360000000001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60.14297</f>
        <v>60.142969999999998</v>
      </c>
      <c r="F295" s="198">
        <f>190.18657</f>
        <v>190.18656999999999</v>
      </c>
      <c r="G295" s="199"/>
      <c r="H295" s="198">
        <f>179.866</f>
        <v>179.86600000000001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15.038</f>
        <v>15.038</v>
      </c>
      <c r="F296" s="202">
        <f>59.465</f>
        <v>59.465000000000003</v>
      </c>
      <c r="G296" s="203"/>
      <c r="H296" s="202">
        <f>47.0076</f>
        <v>47.007599999999996</v>
      </c>
      <c r="I296" s="145"/>
      <c r="J296" s="127"/>
    </row>
    <row r="297" spans="1:10" ht="14.15" customHeight="1" x14ac:dyDescent="0.35">
      <c r="A297" s="223"/>
      <c r="B297" s="69"/>
      <c r="C297" s="287" t="s">
        <v>110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5" customHeight="1" x14ac:dyDescent="0.35">
      <c r="A300" s="223"/>
      <c r="B300" s="69"/>
      <c r="C300" s="287" t="s">
        <v>111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5" customHeight="1" x14ac:dyDescent="0.3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86</v>
      </c>
      <c r="D304" s="38">
        <f>D294+D297+D300</f>
        <v>2338</v>
      </c>
      <c r="E304" s="39">
        <f>E294+E297+E300+E303</f>
        <v>75.180970000000002</v>
      </c>
      <c r="F304" s="39">
        <f>F294+F297+F300+F303</f>
        <v>249.65156999999999</v>
      </c>
      <c r="G304" s="40">
        <f>D304-F304</f>
        <v>2088.34843</v>
      </c>
      <c r="H304" s="39">
        <f>H294+H297+H300+H303</f>
        <v>226.87360000000001</v>
      </c>
      <c r="I304" s="26"/>
      <c r="J304" s="127"/>
    </row>
    <row r="305" spans="1:10" ht="42" customHeight="1" x14ac:dyDescent="0.35">
      <c r="A305" s="223"/>
      <c r="B305" s="230"/>
      <c r="C305" s="326" t="s">
        <v>115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112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24" t="s">
        <v>157</v>
      </c>
      <c r="D316" s="324"/>
      <c r="E316" s="324"/>
      <c r="F316" s="324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107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35">
      <c r="A322" s="223"/>
      <c r="B322" s="69"/>
      <c r="C322" s="236" t="s">
        <v>154</v>
      </c>
      <c r="D322" s="237">
        <v>248</v>
      </c>
      <c r="E322" s="29">
        <f>13.23927</f>
        <v>13.239269999999999</v>
      </c>
      <c r="F322" s="29">
        <f>525.03798</f>
        <v>525.03797999999995</v>
      </c>
      <c r="G322" s="238">
        <f>D322-F322</f>
        <v>-277.03797999999995</v>
      </c>
      <c r="H322" s="29">
        <f>294.05927</f>
        <v>294.05927000000003</v>
      </c>
      <c r="I322" s="242"/>
      <c r="J322" s="127"/>
    </row>
    <row r="323" spans="1:10" ht="17.5" customHeight="1" x14ac:dyDescent="0.35">
      <c r="A323" s="223"/>
      <c r="B323" s="69"/>
      <c r="C323" s="239" t="s">
        <v>155</v>
      </c>
      <c r="D323" s="240">
        <v>22048</v>
      </c>
      <c r="E323" s="29">
        <f>16.25248</f>
        <v>16.252479999999998</v>
      </c>
      <c r="F323" s="29">
        <f>852.41486</f>
        <v>852.41485999999998</v>
      </c>
      <c r="G323" s="241">
        <f>D323-F323</f>
        <v>21195.585139999999</v>
      </c>
      <c r="H323" s="29">
        <f>1245.33443</f>
        <v>1245.3344300000001</v>
      </c>
      <c r="I323" s="26"/>
      <c r="J323" s="127"/>
    </row>
    <row r="324" spans="1:10" ht="17.149999999999999" customHeight="1" x14ac:dyDescent="0.35">
      <c r="A324" s="223"/>
      <c r="B324" s="69"/>
      <c r="C324" s="306" t="s">
        <v>86</v>
      </c>
      <c r="D324" s="229">
        <f>D322+D323</f>
        <v>22296</v>
      </c>
      <c r="E324" s="39">
        <f>E323+E322</f>
        <v>29.491749999999996</v>
      </c>
      <c r="F324" s="39">
        <f>F323+F322</f>
        <v>1377.4528399999999</v>
      </c>
      <c r="G324" s="39">
        <f>G323+G322</f>
        <v>20918.547159999998</v>
      </c>
      <c r="H324" s="39">
        <f>H323+H322</f>
        <v>1539.3937000000001</v>
      </c>
      <c r="I324" s="26"/>
      <c r="J324" s="127"/>
    </row>
    <row r="325" spans="1:10" ht="22.5" customHeight="1" x14ac:dyDescent="0.35">
      <c r="A325" s="223"/>
      <c r="B325" s="69"/>
      <c r="C325" s="322" t="s">
        <v>156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112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21" t="s">
        <v>149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107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3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22" t="s">
        <v>156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29&amp;R21.07.2025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2025-07-24T07:58:08Z</dcterms:modified>
</cp:coreProperties>
</file>