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45007CCF-65BD-4B10-B619-CC115B4B0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F328" i="1"/>
  <c r="F327" i="1" s="1"/>
  <c r="G327" i="1" s="1"/>
  <c r="E328" i="1"/>
  <c r="H327" i="1"/>
  <c r="E327" i="1"/>
  <c r="H326" i="1"/>
  <c r="F326" i="1"/>
  <c r="E326" i="1"/>
  <c r="H325" i="1"/>
  <c r="H324" i="1" s="1"/>
  <c r="F325" i="1"/>
  <c r="F324" i="1" s="1"/>
  <c r="G324" i="1" s="1"/>
  <c r="E325" i="1"/>
  <c r="E324" i="1" s="1"/>
  <c r="H323" i="1"/>
  <c r="F323" i="1"/>
  <c r="E323" i="1"/>
  <c r="E321" i="1" s="1"/>
  <c r="E331" i="1" s="1"/>
  <c r="H322" i="1"/>
  <c r="H321" i="1" s="1"/>
  <c r="F322" i="1"/>
  <c r="E322" i="1"/>
  <c r="F321" i="1"/>
  <c r="G321" i="1" s="1"/>
  <c r="G331" i="1" s="1"/>
  <c r="I298" i="1"/>
  <c r="G298" i="1"/>
  <c r="H298" i="1" s="1"/>
  <c r="F298" i="1"/>
  <c r="I297" i="1"/>
  <c r="H297" i="1"/>
  <c r="G297" i="1"/>
  <c r="F297" i="1"/>
  <c r="I296" i="1"/>
  <c r="I294" i="1" s="1"/>
  <c r="G296" i="1"/>
  <c r="F296" i="1"/>
  <c r="F294" i="1" s="1"/>
  <c r="I295" i="1"/>
  <c r="G295" i="1"/>
  <c r="F295" i="1"/>
  <c r="G294" i="1"/>
  <c r="H294" i="1" s="1"/>
  <c r="I293" i="1"/>
  <c r="H293" i="1"/>
  <c r="G293" i="1"/>
  <c r="F293" i="1"/>
  <c r="I292" i="1"/>
  <c r="G292" i="1"/>
  <c r="H292" i="1" s="1"/>
  <c r="H288" i="1" s="1"/>
  <c r="H299" i="1" s="1"/>
  <c r="F292" i="1"/>
  <c r="I291" i="1"/>
  <c r="I288" i="1" s="1"/>
  <c r="H291" i="1"/>
  <c r="G291" i="1"/>
  <c r="F291" i="1"/>
  <c r="F288" i="1" s="1"/>
  <c r="I290" i="1"/>
  <c r="G290" i="1"/>
  <c r="H290" i="1" s="1"/>
  <c r="F290" i="1"/>
  <c r="I289" i="1"/>
  <c r="H289" i="1"/>
  <c r="G289" i="1"/>
  <c r="F289" i="1"/>
  <c r="G288" i="1"/>
  <c r="G299" i="1" s="1"/>
  <c r="E288" i="1"/>
  <c r="E299" i="1" s="1"/>
  <c r="D288" i="1"/>
  <c r="D299" i="1" s="1"/>
  <c r="H280" i="1"/>
  <c r="F280" i="1"/>
  <c r="D262" i="1"/>
  <c r="H261" i="1"/>
  <c r="F261" i="1"/>
  <c r="E261" i="1"/>
  <c r="H260" i="1"/>
  <c r="F260" i="1"/>
  <c r="G260" i="1" s="1"/>
  <c r="E260" i="1"/>
  <c r="H259" i="1"/>
  <c r="G259" i="1"/>
  <c r="F259" i="1"/>
  <c r="E259" i="1"/>
  <c r="H258" i="1"/>
  <c r="H262" i="1" s="1"/>
  <c r="F258" i="1"/>
  <c r="G258" i="1" s="1"/>
  <c r="E258" i="1"/>
  <c r="E262" i="1" s="1"/>
  <c r="D251" i="1"/>
  <c r="F207" i="1"/>
  <c r="D207" i="1"/>
  <c r="G207" i="1" s="1"/>
  <c r="G206" i="1"/>
  <c r="H205" i="1"/>
  <c r="G205" i="1"/>
  <c r="F205" i="1"/>
  <c r="E205" i="1"/>
  <c r="H204" i="1"/>
  <c r="H207" i="1" s="1"/>
  <c r="F204" i="1"/>
  <c r="G204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E179" i="1"/>
  <c r="E178" i="1" s="1"/>
  <c r="F178" i="1"/>
  <c r="G178" i="1" s="1"/>
  <c r="H177" i="1"/>
  <c r="G177" i="1"/>
  <c r="F177" i="1"/>
  <c r="E177" i="1"/>
  <c r="H176" i="1"/>
  <c r="F176" i="1"/>
  <c r="E176" i="1"/>
  <c r="H175" i="1"/>
  <c r="H184" i="1" s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H140" i="1" s="1"/>
  <c r="H139" i="1" s="1"/>
  <c r="F140" i="1"/>
  <c r="I139" i="1"/>
  <c r="F139" i="1"/>
  <c r="E139" i="1"/>
  <c r="I138" i="1"/>
  <c r="H138" i="1"/>
  <c r="F138" i="1"/>
  <c r="I137" i="1"/>
  <c r="H137" i="1"/>
  <c r="F137" i="1"/>
  <c r="I136" i="1"/>
  <c r="H136" i="1"/>
  <c r="F136" i="1"/>
  <c r="I135" i="1"/>
  <c r="G134" i="1"/>
  <c r="F135" i="1"/>
  <c r="I134" i="1"/>
  <c r="I133" i="1" s="1"/>
  <c r="F134" i="1"/>
  <c r="F133" i="1" s="1"/>
  <c r="E134" i="1"/>
  <c r="E133" i="1"/>
  <c r="I132" i="1"/>
  <c r="F132" i="1"/>
  <c r="H131" i="1"/>
  <c r="I130" i="1"/>
  <c r="G130" i="1"/>
  <c r="H130" i="1" s="1"/>
  <c r="H128" i="1" s="1"/>
  <c r="F130" i="1"/>
  <c r="I129" i="1"/>
  <c r="I128" i="1" s="1"/>
  <c r="I150" i="1" s="1"/>
  <c r="H129" i="1"/>
  <c r="G129" i="1"/>
  <c r="F129" i="1"/>
  <c r="F128" i="1" s="1"/>
  <c r="F150" i="1" s="1"/>
  <c r="G128" i="1"/>
  <c r="E128" i="1"/>
  <c r="E150" i="1" s="1"/>
  <c r="C126" i="1"/>
  <c r="H106" i="1"/>
  <c r="H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H97" i="1" s="1"/>
  <c r="F97" i="1"/>
  <c r="F96" i="1" s="1"/>
  <c r="F95" i="1" s="1"/>
  <c r="E96" i="1"/>
  <c r="E95" i="1" s="1"/>
  <c r="E107" i="1" s="1"/>
  <c r="D96" i="1"/>
  <c r="D95" i="1"/>
  <c r="D107" i="1" s="1"/>
  <c r="I94" i="1"/>
  <c r="G94" i="1"/>
  <c r="H94" i="1" s="1"/>
  <c r="H92" i="1" s="1"/>
  <c r="F94" i="1"/>
  <c r="I93" i="1"/>
  <c r="H93" i="1"/>
  <c r="G93" i="1"/>
  <c r="F93" i="1"/>
  <c r="I92" i="1"/>
  <c r="I107" i="1" s="1"/>
  <c r="G92" i="1"/>
  <c r="F92" i="1"/>
  <c r="E92" i="1"/>
  <c r="C89" i="1"/>
  <c r="H85" i="1"/>
  <c r="F85" i="1"/>
  <c r="D85" i="1"/>
  <c r="G61" i="1"/>
  <c r="G60" i="1"/>
  <c r="H55" i="1"/>
  <c r="F55" i="1"/>
  <c r="G32" i="1" s="1"/>
  <c r="H32" i="1" s="1"/>
  <c r="E55" i="1"/>
  <c r="E44" i="1"/>
  <c r="D44" i="1"/>
  <c r="H43" i="1"/>
  <c r="H42" i="1"/>
  <c r="H41" i="1"/>
  <c r="H40" i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F34" i="1" s="1"/>
  <c r="I35" i="1"/>
  <c r="G35" i="1"/>
  <c r="H35" i="1" s="1"/>
  <c r="F35" i="1"/>
  <c r="I33" i="1"/>
  <c r="H33" i="1"/>
  <c r="G33" i="1"/>
  <c r="F33" i="1"/>
  <c r="I32" i="1"/>
  <c r="F32" i="1"/>
  <c r="I31" i="1"/>
  <c r="G31" i="1"/>
  <c r="H31" i="1" s="1"/>
  <c r="F31" i="1"/>
  <c r="I30" i="1"/>
  <c r="G30" i="1"/>
  <c r="H30" i="1" s="1"/>
  <c r="F30" i="1"/>
  <c r="I29" i="1"/>
  <c r="H29" i="1"/>
  <c r="G29" i="1"/>
  <c r="F29" i="1"/>
  <c r="I28" i="1"/>
  <c r="I27" i="1" s="1"/>
  <c r="G28" i="1"/>
  <c r="H28" i="1" s="1"/>
  <c r="F28" i="1"/>
  <c r="F27" i="1" s="1"/>
  <c r="I25" i="1"/>
  <c r="H25" i="1"/>
  <c r="H23" i="1" s="1"/>
  <c r="G25" i="1"/>
  <c r="F25" i="1"/>
  <c r="I24" i="1"/>
  <c r="I23" i="1" s="1"/>
  <c r="G24" i="1"/>
  <c r="H24" i="1" s="1"/>
  <c r="F24" i="1"/>
  <c r="F23" i="1" s="1"/>
  <c r="H16" i="1"/>
  <c r="F16" i="1"/>
  <c r="D16" i="1"/>
  <c r="I34" i="1" l="1"/>
  <c r="I26" i="1"/>
  <c r="I44" i="1" s="1"/>
  <c r="F26" i="1"/>
  <c r="F44" i="1" s="1"/>
  <c r="G34" i="1"/>
  <c r="H34" i="1" s="1"/>
  <c r="F299" i="1"/>
  <c r="H27" i="1"/>
  <c r="H96" i="1"/>
  <c r="H95" i="1" s="1"/>
  <c r="H107" i="1" s="1"/>
  <c r="E184" i="1"/>
  <c r="I299" i="1"/>
  <c r="G184" i="1"/>
  <c r="F107" i="1"/>
  <c r="H331" i="1"/>
  <c r="G23" i="1"/>
  <c r="G27" i="1"/>
  <c r="G96" i="1"/>
  <c r="G95" i="1" s="1"/>
  <c r="G107" i="1" s="1"/>
  <c r="G55" i="1"/>
  <c r="H135" i="1"/>
  <c r="H134" i="1" s="1"/>
  <c r="H133" i="1" s="1"/>
  <c r="H150" i="1" s="1"/>
  <c r="G139" i="1"/>
  <c r="G133" i="1" s="1"/>
  <c r="G150" i="1" s="1"/>
  <c r="F184" i="1"/>
  <c r="F331" i="1"/>
  <c r="F262" i="1"/>
  <c r="G262" i="1" s="1"/>
  <c r="G26" i="1" l="1"/>
  <c r="G44" i="1" s="1"/>
  <c r="H26" i="1"/>
  <c r="H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<sst xmlns="http://schemas.openxmlformats.org/spreadsheetml/2006/main" count="330" uniqueCount="148">
  <si>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</si>
  <si>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</si>
  <si>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</si>
  <si>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</si>
  <si>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</si>
  <si>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</si>
  <si>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</si>
  <si>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</si>
  <si>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</si>
  <si>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</si>
  <si>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</si>
  <si>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</si>
  <si>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</si>
  <si>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</si>
  <si>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</si>
  <si>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</si>
  <si>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</si>
  <si>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</si>
  <si>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</si>
  <si>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</si>
  <si>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</si>
  <si>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</si>
  <si>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</si>
  <si>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</si>
  <si>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</si>
  <si>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</si>
  <si>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</si>
  <si>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</si>
  <si>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</si>
  <si>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</si>
  <si>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</si>
  <si>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</si>
  <si>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</si>
  <si>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</si>
  <si>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</si>
  <si>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</si>
  <si>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</si>
  <si>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</si>
  <si>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</si>
  <si>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</si>
  <si>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</si>
  <si>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</si>
  <si>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</si>
  <si>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</si>
  <si>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</si>
  <si>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</si>
  <si>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</si>
  <si>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</si>
  <si>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</si>
  <si>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</si>
  <si>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</si>
  <si>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</si>
  <si>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</si>
  <si>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</si>
  <si>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</si>
  <si>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</si>
  <si>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</si>
  <si>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</si>
  <si>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</si>
  <si>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</si>
  <si>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</si>
  <si>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</si>
  <si>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</si>
  <si>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</si>
  <si>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</si>
  <si>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</si>
  <si>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</si>
  <si>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</si>
  <si>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</si>
  <si>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</si>
  <si>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</si>
  <si>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</si>
  <si>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</si>
  <si>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</si>
  <si>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</si>
  <si>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</si>
  <si>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</si>
  <si>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</si>
  <si>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</si>
  <si>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</si>
  <si>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</si>
  <si>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</si>
  <si>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</si>
  <si>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</si>
  <si>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</si>
  <si>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</si>
  <si>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</si>
  <si>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</si>
  <si>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</si>
  <si>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</si>
  <si>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</si>
  <si>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</si>
  <si>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</si>
  <si>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</si>
  <si>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</si>
  <si>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</si>
  <si>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</si>
  <si>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</si>
  <si>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</si>
  <si>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</si>
  <si>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</si>
  <si>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</si>
  <si>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</si>
  <si>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</si>
  <si>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</si>
  <si>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</si>
  <si>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</si>
  <si>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</si>
  <si>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</si>
  <si>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</si>
  <si>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</si>
  <si>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</si>
  <si>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</si>
  <si>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</si>
  <si>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</si>
  <si>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</si>
  <si>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</si>
  <si>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</si>
  <si>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</si>
  <si>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</si>
  <si>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</si>
  <si>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</si>
  <si>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</si>
  <si>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</si>
  <si>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</si>
  <si>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</si>
  <si>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</si>
  <si>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</si>
  <si>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</si>
  <si>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</si>
  <si>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</si>
  <si>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</si>
  <si>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</si>
  <si>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</si>
  <si>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</si>
  <si>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</si>
  <si>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</si>
  <si>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</si>
  <si>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</si>
  <si>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</si>
  <si>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13</t>
  </si>
  <si>
    <t>FANGST T.O.M UKE 13</t>
  </si>
  <si>
    <t>RESTKVOTER UKE 13</t>
  </si>
  <si>
    <t>FANGST T.O.M UKE 13 2022</t>
  </si>
  <si>
    <r>
      <t>3</t>
    </r>
    <r>
      <rPr>
        <sz val="9"/>
        <color indexed="8"/>
        <rFont val="Calibri"/>
        <family val="2"/>
      </rPr>
      <t xml:space="preserve"> Det er fisket 740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</si>
  <si>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337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</si>
  <si>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27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</si>
  <si>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116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</si>
</sst>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topLeftCell="A12" zoomScale="115" zoomScaleNormal="85" zoomScaleSheetLayoutView="100" zoomScalePageLayoutView="115" workbookViewId="0">
      <selection activeCell="H32" sqref="H32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1436.3946000000001</v>
      </c>
      <c r="G23" s="28">
        <f t="shared" si="0"/>
        <v>30386.056909999999</v>
      </c>
      <c r="H23" s="11">
        <f t="shared" si="0"/>
        <v>56440.943090000001</v>
      </c>
      <c r="I23" s="11">
        <f t="shared" si="0"/>
        <v>38953.438159999998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1436.3946</f>
        <v>1436.3946000000001</v>
      </c>
      <c r="G24" s="23">
        <f>30269.24441</f>
        <v>30269.244409999999</v>
      </c>
      <c r="H24" s="23">
        <f>E24-G24</f>
        <v>55775.755590000001</v>
      </c>
      <c r="I24" s="23">
        <f>38769.69459</f>
        <v>38769.694589999999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116.8125</f>
        <v>116.8125</v>
      </c>
      <c r="H25" s="23">
        <f>E25-G25</f>
        <v>665.1875</v>
      </c>
      <c r="I25" s="23">
        <f>183.74357</f>
        <v>183.74357000000001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16094.139819999999</v>
      </c>
      <c r="G26" s="11">
        <f t="shared" si="1"/>
        <v>110373.43167999999</v>
      </c>
      <c r="H26" s="11">
        <f t="shared" si="1"/>
        <v>87196.568320000006</v>
      </c>
      <c r="I26" s="11">
        <f t="shared" si="1"/>
        <v>135062.78472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12827.751339999999</v>
      </c>
      <c r="G27" s="134">
        <f t="shared" ref="G27:I27" si="2">G28+G29+G30+G31+G32</f>
        <v>90682.038969999994</v>
      </c>
      <c r="H27" s="134">
        <f t="shared" si="2"/>
        <v>61968.961030000006</v>
      </c>
      <c r="I27" s="134">
        <f t="shared" si="2"/>
        <v>115695.07094000001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4579.12585</f>
        <v>4579.1258500000004</v>
      </c>
      <c r="G28" s="129">
        <f>24094.62255 - F57</f>
        <v>24094.62255</v>
      </c>
      <c r="H28" s="129">
        <f t="shared" ref="H28:H40" si="3">E28-G28</f>
        <v>15454.37745</v>
      </c>
      <c r="I28" s="129">
        <f>27142.07617 - H57</f>
        <v>27142.07617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4040.88971</f>
        <v>4040.8897099999999</v>
      </c>
      <c r="G29" s="129">
        <f>27739.95025 - F58</f>
        <v>27739.950250000002</v>
      </c>
      <c r="H29" s="129">
        <f t="shared" si="3"/>
        <v>13024.049749999998</v>
      </c>
      <c r="I29" s="129">
        <f>35227.7717 - H58</f>
        <v>35227.771699999998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2896.89336</f>
        <v>2896.89336</v>
      </c>
      <c r="G30" s="129">
        <f>22307.05636 - F59</f>
        <v>22307.056359999999</v>
      </c>
      <c r="H30" s="129">
        <f t="shared" si="3"/>
        <v>14959.943640000001</v>
      </c>
      <c r="I30" s="129">
        <f>29451.12859 - H59</f>
        <v>29451.12859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1310.84242</f>
        <v>1310.8424199999999</v>
      </c>
      <c r="G31" s="129">
        <f>16540.40981 - F60</f>
        <v>16540.409810000001</v>
      </c>
      <c r="H31" s="129">
        <f t="shared" si="3"/>
        <v>8866.590189999999</v>
      </c>
      <c r="I31" s="129">
        <f>23874.09448 - H60</f>
        <v>23874.09448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322.43167</f>
        <v>322.43167</v>
      </c>
      <c r="G33" s="134">
        <f>7940.78957</f>
        <v>7940.7895699999999</v>
      </c>
      <c r="H33" s="134">
        <f t="shared" si="3"/>
        <v>15645.210429999999</v>
      </c>
      <c r="I33" s="134">
        <f>9674.51576</f>
        <v>9674.5157600000002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2943.9568100000001</v>
      </c>
      <c r="G34" s="134">
        <f>G35+G36</f>
        <v>11750.603139999999</v>
      </c>
      <c r="H34" s="134">
        <f t="shared" si="3"/>
        <v>9582.3968600000007</v>
      </c>
      <c r="I34" s="134">
        <f>I35+I36</f>
        <v>9693.1980199999998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2943.95681</f>
        <v>2943.9568100000001</v>
      </c>
      <c r="G35" s="134">
        <f>12619.60314 - F61 - F62</f>
        <v>11750.603139999999</v>
      </c>
      <c r="H35" s="129">
        <f t="shared" si="3"/>
        <v>8382.3968600000007</v>
      </c>
      <c r="I35" s="129">
        <f>10173.19802 - H61 - H62</f>
        <v>9693.1980199999998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5.91</f>
        <v>5.91</v>
      </c>
      <c r="H37" s="141">
        <f t="shared" si="3"/>
        <v>2994.09</v>
      </c>
      <c r="I37" s="141">
        <f>199.24395</f>
        <v>199.24395000000001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65.9049</f>
        <v>65.904899999999998</v>
      </c>
      <c r="G38" s="100">
        <f>368.99203</f>
        <v>368.99203</v>
      </c>
      <c r="H38" s="100">
        <f t="shared" si="3"/>
        <v>482.00797</v>
      </c>
      <c r="I38" s="100">
        <f>339.00182</f>
        <v>339.00182000000001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384</v>
      </c>
      <c r="G39" s="100">
        <f>F61</f>
        <v>869</v>
      </c>
      <c r="H39" s="100">
        <f t="shared" si="3"/>
        <v>2179</v>
      </c>
      <c r="I39" s="100">
        <f>H61</f>
        <v>480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73.19575</f>
        <v>73.195750000000004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18053.638070000001</v>
      </c>
      <c r="G44" s="78">
        <f t="shared" si="4"/>
        <v>149082.95162000001</v>
      </c>
      <c r="H44" s="78">
        <f t="shared" si="4"/>
        <v>149613.04837999999</v>
      </c>
      <c r="I44" s="78">
        <f t="shared" si="4"/>
        <v>182155.40707999998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145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384</v>
      </c>
      <c r="F61" s="141">
        <v>869</v>
      </c>
      <c r="G61" s="141">
        <f>D61-F61</f>
        <v>2131</v>
      </c>
      <c r="H61" s="141">
        <v>480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5595.64714</v>
      </c>
      <c r="G92" s="11">
        <f t="shared" si="5"/>
        <v>21466.13265</v>
      </c>
      <c r="H92" s="11">
        <f t="shared" si="5"/>
        <v>13332.86735</v>
      </c>
      <c r="I92" s="11">
        <f t="shared" si="5"/>
        <v>26915.112879999997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5595.64714</f>
        <v>5595.64714</v>
      </c>
      <c r="G93" s="23">
        <f>21189.86505</f>
        <v>21189.86505</v>
      </c>
      <c r="H93" s="23">
        <f>E93-G93</f>
        <v>12797.13495</v>
      </c>
      <c r="I93" s="23">
        <f>26551.19289</f>
        <v>26551.192889999998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276.2676</f>
        <v>276.26760000000002</v>
      </c>
      <c r="H94" s="52">
        <f>E94-G94</f>
        <v>535.73239999999998</v>
      </c>
      <c r="I94" s="52">
        <f>363.91999</f>
        <v>363.91998999999998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911.0126600000001</v>
      </c>
      <c r="G95" s="11">
        <f t="shared" si="6"/>
        <v>11435.131359999999</v>
      </c>
      <c r="H95" s="11">
        <f t="shared" si="6"/>
        <v>48064.868640000001</v>
      </c>
      <c r="I95" s="11">
        <f t="shared" si="6"/>
        <v>13491.28817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791.80796000000009</v>
      </c>
      <c r="G96" s="134">
        <f t="shared" si="7"/>
        <v>7227.1914500000003</v>
      </c>
      <c r="H96" s="134">
        <f t="shared" si="7"/>
        <v>37263.808550000002</v>
      </c>
      <c r="I96" s="134">
        <f t="shared" si="7"/>
        <v>9281.8448399999997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164.35203</f>
        <v>164.35203000000001</v>
      </c>
      <c r="G97" s="129">
        <f>1535.41676</f>
        <v>1535.4167600000001</v>
      </c>
      <c r="H97" s="129">
        <f t="shared" ref="H97:H104" si="8">E97-G97</f>
        <v>10348.283240000001</v>
      </c>
      <c r="I97" s="129">
        <f>1699.56281</f>
        <v>1699.5628099999999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172.53164</f>
        <v>172.53164000000001</v>
      </c>
      <c r="G98" s="129">
        <f>2057.92072</f>
        <v>2057.9207200000001</v>
      </c>
      <c r="H98" s="129">
        <f t="shared" si="8"/>
        <v>10607.17928</v>
      </c>
      <c r="I98" s="129">
        <f>3068.8668</f>
        <v>3068.8667999999998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169.97597</f>
        <v>169.97596999999999</v>
      </c>
      <c r="G99" s="129">
        <f>1720.58773</f>
        <v>1720.58773</v>
      </c>
      <c r="H99" s="129">
        <f t="shared" si="8"/>
        <v>10245.012270000001</v>
      </c>
      <c r="I99" s="129">
        <f>2948.12611</f>
        <v>2948.1261100000002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284.94832</f>
        <v>284.94832000000002</v>
      </c>
      <c r="G100" s="129">
        <f>1913.26624</f>
        <v>1913.2662399999999</v>
      </c>
      <c r="H100" s="129">
        <f t="shared" si="8"/>
        <v>6063.3337600000004</v>
      </c>
      <c r="I100" s="129">
        <f>1565.28912</f>
        <v>1565.2891199999999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23.43607</f>
        <v>23.436070000000001</v>
      </c>
      <c r="G101" s="134">
        <f>3341.36889</f>
        <v>3341.3688900000002</v>
      </c>
      <c r="H101" s="134">
        <f t="shared" si="8"/>
        <v>7049.6311100000003</v>
      </c>
      <c r="I101" s="134">
        <f>3605.04071</f>
        <v>3605.0407100000002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95.76863</f>
        <v>95.768630000000002</v>
      </c>
      <c r="G102" s="77">
        <f>866.57102</f>
        <v>866.57101999999998</v>
      </c>
      <c r="H102" s="77">
        <f t="shared" si="8"/>
        <v>3751.4289800000001</v>
      </c>
      <c r="I102" s="77">
        <f>604.40262</f>
        <v>604.40261999999996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0.2273</f>
        <v>0.2273</v>
      </c>
      <c r="G103" s="100">
        <f>11.13416</f>
        <v>11.13416</v>
      </c>
      <c r="H103" s="100">
        <f t="shared" si="8"/>
        <v>308.86583999999999</v>
      </c>
      <c r="I103" s="100">
        <f>21.61037</f>
        <v>21.61037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6.85462</f>
        <v>6.8546199999999997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6513.74172</v>
      </c>
      <c r="G107" s="78">
        <f t="shared" si="9"/>
        <v>33221.165969999987</v>
      </c>
      <c r="H107" s="78">
        <f t="shared" si="9"/>
        <v>61747.834030000013</v>
      </c>
      <c r="I107" s="78">
        <f t="shared" si="9"/>
        <v>40771.746200000001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146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549.15758000000005</v>
      </c>
      <c r="G128" s="11">
        <f t="shared" si="10"/>
        <v>24756.76498</v>
      </c>
      <c r="H128" s="11">
        <f t="shared" si="10"/>
        <v>45784.23502</v>
      </c>
      <c r="I128" s="11">
        <f t="shared" si="10"/>
        <v>20821.503290000001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549.15758</f>
        <v>549.15758000000005</v>
      </c>
      <c r="G129" s="23">
        <f>21547.1339</f>
        <v>21547.133900000001</v>
      </c>
      <c r="H129" s="23">
        <f>E129-G129</f>
        <v>34544.866099999999</v>
      </c>
      <c r="I129" s="23">
        <f>16216.05669</f>
        <v>16216.056689999999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3209.63108</f>
        <v>3209.6310800000001</v>
      </c>
      <c r="H130" s="23">
        <f>E130-G130</f>
        <v>10739.368920000001</v>
      </c>
      <c r="I130" s="23">
        <f>4605.4466</f>
        <v>4605.4466000000002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</f>
        <v>0</v>
      </c>
      <c r="G132" s="97">
        <f>138.14053+739.87674</f>
        <v>878.01727000000005</v>
      </c>
      <c r="H132" s="97">
        <f>E132-G132</f>
        <v>48293.982730000003</v>
      </c>
      <c r="I132" s="97">
        <f>40.023</f>
        <v>40.023000000000003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1994.86356</v>
      </c>
      <c r="G133" s="96">
        <f t="shared" ref="G133" si="11">G134+G139+G142</f>
        <v>34603.5069</v>
      </c>
      <c r="H133" s="96">
        <f>H134+H139+H142</f>
        <v>46336.4931</v>
      </c>
      <c r="I133" s="96">
        <f>I134+I139+I142</f>
        <v>29803.04624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976.95992000000001</v>
      </c>
      <c r="G134" s="127">
        <f>G135+G136+G138+G137</f>
        <v>27897.5196</v>
      </c>
      <c r="H134" s="127">
        <f>H135+H136+H137+H138</f>
        <v>31606.4804</v>
      </c>
      <c r="I134" s="127">
        <f>I135+I136+I137+I138</f>
        <v>23675.344279999998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130.43343</f>
        <v>130.43342999999999</v>
      </c>
      <c r="G135" s="129">
        <v>4241.06646</v>
      </c>
      <c r="H135" s="129">
        <f>E135-G135</f>
        <v>13262.93354</v>
      </c>
      <c r="I135" s="129">
        <f>3191.08295</f>
        <v>3191.08295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328.96799</f>
        <v>328.96798999999999</v>
      </c>
      <c r="G136" s="129">
        <v>8517.9154500000004</v>
      </c>
      <c r="H136" s="129">
        <f>E136-G136</f>
        <v>6566.0845499999996</v>
      </c>
      <c r="I136" s="129">
        <f>6430.87254</f>
        <v>6430.8725400000003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326.40658</f>
        <v>326.40658000000002</v>
      </c>
      <c r="G137" s="129">
        <v>7160.7503200000001</v>
      </c>
      <c r="H137" s="129">
        <f>E137-G137</f>
        <v>7862.2496799999999</v>
      </c>
      <c r="I137" s="129">
        <f>7586.90386</f>
        <v>7586.9038600000003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191.15192</f>
        <v>191.15191999999999</v>
      </c>
      <c r="G138" s="129">
        <v>7977.78737</v>
      </c>
      <c r="H138" s="129">
        <f>E138-G138</f>
        <v>3915.21263</v>
      </c>
      <c r="I138" s="129">
        <f>6466.48493</f>
        <v>6466.4849299999996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872.54604000000006</v>
      </c>
      <c r="G139" s="134">
        <f>SUM(G140:G141)</f>
        <v>4912.4534299999996</v>
      </c>
      <c r="H139" s="134">
        <f>H140+H141</f>
        <v>4519.5465700000004</v>
      </c>
      <c r="I139" s="134">
        <f>SUM(I140:I141)</f>
        <v>4639.9390599999997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848.53254</f>
        <v>848.53254000000004</v>
      </c>
      <c r="G140" s="129">
        <f>4814.08249</f>
        <v>4814.0824899999998</v>
      </c>
      <c r="H140" s="129">
        <f t="shared" ref="H140:H147" si="12">E140-G140</f>
        <v>4117.9175100000002</v>
      </c>
      <c r="I140" s="129">
        <f>4563.82691</f>
        <v>4563.8269099999998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24.0135</f>
        <v>24.013500000000001</v>
      </c>
      <c r="G141" s="129">
        <f>98.37094</f>
        <v>98.370940000000004</v>
      </c>
      <c r="H141" s="129">
        <f t="shared" si="12"/>
        <v>401.62905999999998</v>
      </c>
      <c r="I141" s="129">
        <f>76.11215</f>
        <v>76.11215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145.3576</f>
        <v>145.35759999999999</v>
      </c>
      <c r="G142" s="77">
        <f>1793.53387</f>
        <v>1793.53387</v>
      </c>
      <c r="H142" s="77">
        <f t="shared" si="12"/>
        <v>10210.466130000001</v>
      </c>
      <c r="I142" s="77">
        <f>1487.7629</f>
        <v>1487.7628999999999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0.23178</f>
        <v>0.23178000000000001</v>
      </c>
      <c r="G143" s="141">
        <f>17.91941</f>
        <v>17.919409999999999</v>
      </c>
      <c r="H143" s="141">
        <f t="shared" si="12"/>
        <v>119.08059</v>
      </c>
      <c r="I143" s="141">
        <f>20.53102</f>
        <v>20.531020000000002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16.91581</f>
        <v>16.91581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2561.1687299999999</v>
      </c>
      <c r="G150" s="78">
        <f>G128+G132+G133+G143+G144+G145+G146+G147+G148</f>
        <v>62256.208559999999</v>
      </c>
      <c r="H150" s="78">
        <f>H128+H132+H133+H143+H144+H145+H146+H147+H148</f>
        <v>140978.79144</v>
      </c>
      <c r="I150" s="78">
        <f>I128+I132+I133+I143+I144+I145+I146+I147+I148</f>
        <v>52685.103550000007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144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147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45.01359</f>
        <v>45.013590000000001</v>
      </c>
      <c r="F175" s="274">
        <f>438.8593</f>
        <v>438.85930000000002</v>
      </c>
      <c r="G175" s="45">
        <f>D175-F175-F176</f>
        <v>4379.3975600000003</v>
      </c>
      <c r="H175" s="274">
        <f>308.3777</f>
        <v>308.3777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169.74314</f>
        <v>169.74314000000001</v>
      </c>
      <c r="G176" s="215"/>
      <c r="H176" s="154">
        <f>335.57409</f>
        <v>335.57409000000001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0.00132</f>
        <v>1.32E-3</v>
      </c>
      <c r="F177" s="174">
        <f>22.40974</f>
        <v>22.409739999999999</v>
      </c>
      <c r="G177" s="174">
        <f>D177-F177</f>
        <v>177.59026</v>
      </c>
      <c r="H177" s="174">
        <f>12.36262</f>
        <v>12.36262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6.8351000000000006</v>
      </c>
      <c r="F178" s="183">
        <f>F179+F180+F181</f>
        <v>16.863480000000003</v>
      </c>
      <c r="G178" s="183">
        <f>D178-F178</f>
        <v>7464.13652</v>
      </c>
      <c r="H178" s="183">
        <f>H179+H180+H181</f>
        <v>19.297919999999998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1.60782</f>
        <v>1.60782</v>
      </c>
      <c r="F179" s="129">
        <f>4.84942</f>
        <v>4.8494200000000003</v>
      </c>
      <c r="G179" s="129"/>
      <c r="H179" s="129">
        <f>1.50752</f>
        <v>1.50752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5.22728</f>
        <v>5.2272800000000004</v>
      </c>
      <c r="F180" s="129">
        <f>10.9525</f>
        <v>10.952500000000001</v>
      </c>
      <c r="G180" s="129"/>
      <c r="H180" s="129">
        <f>13.53127</f>
        <v>13.531269999999999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1.06156</f>
        <v>1.0615600000000001</v>
      </c>
      <c r="G181" s="194"/>
      <c r="H181" s="194">
        <f>4.25913</f>
        <v>4.2591299999999999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51.850009999999997</v>
      </c>
      <c r="F184" s="196">
        <f>F175+F176+F177+F178+F182+F183</f>
        <v>647.87565999999993</v>
      </c>
      <c r="G184" s="196">
        <f>D184-F184</f>
        <v>12087.12434</v>
      </c>
      <c r="H184" s="196">
        <f>H175+H176+H177+H178+H182+H183</f>
        <v>675.61233000000004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418.21576</f>
        <v>418.21575999999999</v>
      </c>
      <c r="F204" s="124">
        <f>6997.32455</f>
        <v>6997.3245500000003</v>
      </c>
      <c r="G204" s="124">
        <f>D204-F204</f>
        <v>36841.675450000002</v>
      </c>
      <c r="H204" s="124">
        <f>4175.40557</f>
        <v>4175.4055699999999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0.007</f>
        <v>7.0000000000000001E-3</v>
      </c>
      <c r="F205" s="124">
        <f>0.8048</f>
        <v>0.80479999999999996</v>
      </c>
      <c r="G205" s="124">
        <f>D205-F205</f>
        <v>99.1952</v>
      </c>
      <c r="H205" s="124">
        <f>9.54076</f>
        <v>9.5407600000000006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418.22275999999999</v>
      </c>
      <c r="F207" s="190">
        <f>SUM(F204:F206)</f>
        <v>6998.1293500000002</v>
      </c>
      <c r="G207" s="190">
        <f>D207-F207</f>
        <v>36982.870649999997</v>
      </c>
      <c r="H207" s="190">
        <f>SUM(H204:H206)</f>
        <v>4184.9463299999998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5.06574</f>
        <v>5.0657399999999999</v>
      </c>
      <c r="F258" s="124">
        <f>91.11589</f>
        <v>91.115889999999993</v>
      </c>
      <c r="G258" s="124">
        <f>D258-F258</f>
        <v>708.88410999999996</v>
      </c>
      <c r="H258" s="124">
        <f>45.87618</f>
        <v>45.876179999999998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9.55832</f>
        <v>9.5583200000000001</v>
      </c>
      <c r="F259" s="124">
        <f>403.04044</f>
        <v>403.04043999999999</v>
      </c>
      <c r="G259" s="124">
        <f>D259-F259</f>
        <v>2090.9595600000002</v>
      </c>
      <c r="H259" s="124">
        <f>201.74808</f>
        <v>201.74807999999999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0.19022</f>
        <v>0.19022</v>
      </c>
      <c r="G261" s="124"/>
      <c r="H261" s="168">
        <f>0.22156</f>
        <v>0.22156000000000001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14.62406</v>
      </c>
      <c r="F262" s="190">
        <f>SUM(F258:F261)</f>
        <v>494.43658999999997</v>
      </c>
      <c r="G262" s="190">
        <f>D262-F262</f>
        <v>2804.5634100000002</v>
      </c>
      <c r="H262" s="190">
        <f>H258+H259+H260+H261</f>
        <v>248.20282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19.932600000000001</v>
      </c>
      <c r="G288" s="251">
        <f t="shared" si="14"/>
        <v>2740.2716799999998</v>
      </c>
      <c r="H288" s="251">
        <f>H292+H291+H290+H289</f>
        <v>13361.72832</v>
      </c>
      <c r="I288" s="251">
        <f t="shared" si="14"/>
        <v>681.52211999999986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1618.56418</f>
        <v>1618.5641800000001</v>
      </c>
      <c r="H289" s="255">
        <f t="shared" ref="H289:H293" si="15">E289-G289</f>
        <v>6558.4358199999997</v>
      </c>
      <c r="I289" s="255">
        <f>138.8988</f>
        <v>138.89879999999999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432</f>
        <v>432</v>
      </c>
      <c r="H290" s="255">
        <f t="shared" si="15"/>
        <v>1696</v>
      </c>
      <c r="I290" s="255">
        <f>280.6002</f>
        <v>280.60019999999997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19.9254</f>
        <v>19.9254</v>
      </c>
      <c r="G291" s="255">
        <f>444.14665</f>
        <v>444.14665000000002</v>
      </c>
      <c r="H291" s="255">
        <f t="shared" si="15"/>
        <v>912.85334999999998</v>
      </c>
      <c r="I291" s="255">
        <f>252.74032</f>
        <v>252.74032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0.0072</f>
        <v>7.1999999999999998E-3</v>
      </c>
      <c r="G292" s="255">
        <f>245.56085</f>
        <v>245.56084999999999</v>
      </c>
      <c r="H292" s="255">
        <f t="shared" si="15"/>
        <v>4194.4391500000002</v>
      </c>
      <c r="I292" s="255">
        <f>9.2828</f>
        <v>9.2827999999999999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0.207</f>
        <v>0.20699999999999999</v>
      </c>
      <c r="G293" s="266">
        <f>19.42</f>
        <v>19.420000000000002</v>
      </c>
      <c r="H293" s="266">
        <f t="shared" si="15"/>
        <v>5480.58</v>
      </c>
      <c r="I293" s="266">
        <f>107.88102</f>
        <v>107.88102000000001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51.217689999999997</v>
      </c>
      <c r="G294" s="267">
        <f>G296+G295</f>
        <v>1513.7418299999999</v>
      </c>
      <c r="H294" s="267">
        <f>E294-G294</f>
        <v>6486.2581700000001</v>
      </c>
      <c r="I294" s="267">
        <f>I296+I295</f>
        <v>1457.8972100000001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742.5736</f>
        <v>742.57360000000006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51.21769</f>
        <v>51.217689999999997</v>
      </c>
      <c r="G296" s="276">
        <f>771.16823</f>
        <v>771.16822999999999</v>
      </c>
      <c r="H296" s="276"/>
      <c r="I296" s="276">
        <f>568.3989</f>
        <v>568.39890000000003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0.7884</f>
        <v>0.78839999999999999</v>
      </c>
      <c r="G298" s="266">
        <f>3.39832</f>
        <v>3.39832</v>
      </c>
      <c r="H298" s="266">
        <f>E298-G298</f>
        <v>-3.39832</v>
      </c>
      <c r="I298" s="266">
        <f>12.65654</f>
        <v>12.65654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72.145690000000002</v>
      </c>
      <c r="G299" s="285">
        <f t="shared" si="16"/>
        <v>4276.8885300000002</v>
      </c>
      <c r="H299" s="285">
        <f>H288+H293+H294+H297+H298</f>
        <v>25335.11147</v>
      </c>
      <c r="I299" s="285">
        <f t="shared" si="16"/>
        <v>2260.0945900000002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83.160300000000007</v>
      </c>
      <c r="F321" s="26">
        <f>F323+F322</f>
        <v>1809.4946299999999</v>
      </c>
      <c r="G321" s="87">
        <f>D321-F321</f>
        <v>431.50537000000008</v>
      </c>
      <c r="H321" s="26">
        <f>SUM(H322:H323)</f>
        <v>1073.65373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57.703</f>
        <v>57.703000000000003</v>
      </c>
      <c r="F322" s="207">
        <f>1444.57533</f>
        <v>1444.5753299999999</v>
      </c>
      <c r="G322" s="208"/>
      <c r="H322" s="207">
        <f>852.20615</f>
        <v>852.20614999999998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25.4573</f>
        <v>25.4573</v>
      </c>
      <c r="F323" s="210">
        <f>364.9193</f>
        <v>364.91930000000002</v>
      </c>
      <c r="G323" s="211"/>
      <c r="H323" s="210">
        <f>221.44758</f>
        <v>221.44757999999999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83.160300000000007</v>
      </c>
      <c r="F331" s="42">
        <f>F321+F324+F327+F330</f>
        <v>1809.4946299999999</v>
      </c>
      <c r="G331" s="43">
        <f>SUM(G321:G330)</f>
        <v>1551.5053700000001</v>
      </c>
      <c r="H331" s="42">
        <f>H321+H324+H327+H330</f>
        <v>1073.65373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13&amp;R03.04.2023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2023-04-03T08:04:25Z</dcterms:modified>
</cp:coreProperties>
</file>