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017744DF-E8D7-4257-A92E-346A1ABD13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4" i="1" l="1"/>
  <c r="G121" i="1" s="1"/>
  <c r="G120" i="1" s="1"/>
  <c r="G125" i="1"/>
  <c r="G119" i="1"/>
  <c r="H119" i="1" s="1"/>
  <c r="H345" i="1"/>
  <c r="F345" i="1"/>
  <c r="E345" i="1"/>
  <c r="D345" i="1"/>
  <c r="G344" i="1"/>
  <c r="G345" i="1" s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H300" i="1" s="1"/>
  <c r="F301" i="1"/>
  <c r="E301" i="1"/>
  <c r="E300" i="1" s="1"/>
  <c r="F300" i="1"/>
  <c r="G300" i="1" s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H294" i="1" s="1"/>
  <c r="F295" i="1"/>
  <c r="F294" i="1" s="1"/>
  <c r="E295" i="1"/>
  <c r="E294" i="1"/>
  <c r="E304" i="1" s="1"/>
  <c r="D273" i="1"/>
  <c r="I272" i="1"/>
  <c r="H272" i="1"/>
  <c r="G272" i="1"/>
  <c r="F272" i="1"/>
  <c r="I271" i="1"/>
  <c r="G271" i="1"/>
  <c r="H271" i="1" s="1"/>
  <c r="F271" i="1"/>
  <c r="I270" i="1"/>
  <c r="G270" i="1"/>
  <c r="G268" i="1" s="1"/>
  <c r="H268" i="1" s="1"/>
  <c r="F270" i="1"/>
  <c r="I269" i="1"/>
  <c r="I268" i="1" s="1"/>
  <c r="G269" i="1"/>
  <c r="F269" i="1"/>
  <c r="F268" i="1"/>
  <c r="I267" i="1"/>
  <c r="G267" i="1"/>
  <c r="H267" i="1" s="1"/>
  <c r="F267" i="1"/>
  <c r="I266" i="1"/>
  <c r="H266" i="1"/>
  <c r="G266" i="1"/>
  <c r="F266" i="1"/>
  <c r="I265" i="1"/>
  <c r="I262" i="1" s="1"/>
  <c r="G265" i="1"/>
  <c r="G262" i="1" s="1"/>
  <c r="G273" i="1" s="1"/>
  <c r="F265" i="1"/>
  <c r="I264" i="1"/>
  <c r="H264" i="1"/>
  <c r="G264" i="1"/>
  <c r="F264" i="1"/>
  <c r="I263" i="1"/>
  <c r="G263" i="1"/>
  <c r="H263" i="1" s="1"/>
  <c r="F263" i="1"/>
  <c r="F262" i="1"/>
  <c r="F273" i="1" s="1"/>
  <c r="E262" i="1"/>
  <c r="E273" i="1" s="1"/>
  <c r="D262" i="1"/>
  <c r="H254" i="1"/>
  <c r="F254" i="1"/>
  <c r="E241" i="1"/>
  <c r="D241" i="1"/>
  <c r="H240" i="1"/>
  <c r="G240" i="1"/>
  <c r="F240" i="1"/>
  <c r="E240" i="1"/>
  <c r="H239" i="1"/>
  <c r="F239" i="1"/>
  <c r="G239" i="1" s="1"/>
  <c r="E239" i="1"/>
  <c r="H238" i="1"/>
  <c r="G238" i="1"/>
  <c r="F238" i="1"/>
  <c r="E238" i="1"/>
  <c r="H237" i="1"/>
  <c r="H241" i="1" s="1"/>
  <c r="F237" i="1"/>
  <c r="F241" i="1" s="1"/>
  <c r="G241" i="1" s="1"/>
  <c r="E237" i="1"/>
  <c r="D219" i="1"/>
  <c r="G219" i="1" s="1"/>
  <c r="H218" i="1"/>
  <c r="G218" i="1"/>
  <c r="F218" i="1"/>
  <c r="E218" i="1"/>
  <c r="H217" i="1"/>
  <c r="F217" i="1"/>
  <c r="E217" i="1"/>
  <c r="H216" i="1"/>
  <c r="H215" i="1" s="1"/>
  <c r="H219" i="1" s="1"/>
  <c r="F216" i="1"/>
  <c r="E216" i="1"/>
  <c r="E215" i="1" s="1"/>
  <c r="E219" i="1" s="1"/>
  <c r="F215" i="1"/>
  <c r="F219" i="1" s="1"/>
  <c r="D206" i="1"/>
  <c r="H205" i="1"/>
  <c r="G205" i="1"/>
  <c r="F205" i="1"/>
  <c r="E205" i="1"/>
  <c r="H204" i="1"/>
  <c r="F204" i="1"/>
  <c r="E204" i="1"/>
  <c r="H203" i="1"/>
  <c r="H202" i="1" s="1"/>
  <c r="H206" i="1" s="1"/>
  <c r="F203" i="1"/>
  <c r="E203" i="1"/>
  <c r="E202" i="1" s="1"/>
  <c r="E206" i="1" s="1"/>
  <c r="F202" i="1"/>
  <c r="G202" i="1" s="1"/>
  <c r="E192" i="1"/>
  <c r="D192" i="1"/>
  <c r="I191" i="1"/>
  <c r="G191" i="1"/>
  <c r="H191" i="1" s="1"/>
  <c r="F191" i="1"/>
  <c r="I190" i="1"/>
  <c r="G190" i="1"/>
  <c r="H190" i="1" s="1"/>
  <c r="F190" i="1"/>
  <c r="F192" i="1" s="1"/>
  <c r="I189" i="1"/>
  <c r="I192" i="1" s="1"/>
  <c r="G189" i="1"/>
  <c r="H189" i="1" s="1"/>
  <c r="F189" i="1"/>
  <c r="D169" i="1"/>
  <c r="H168" i="1"/>
  <c r="G168" i="1"/>
  <c r="F168" i="1"/>
  <c r="E168" i="1"/>
  <c r="H167" i="1"/>
  <c r="G167" i="1"/>
  <c r="F167" i="1"/>
  <c r="E167" i="1"/>
  <c r="H166" i="1"/>
  <c r="F166" i="1"/>
  <c r="E166" i="1"/>
  <c r="H165" i="1"/>
  <c r="F165" i="1"/>
  <c r="E165" i="1"/>
  <c r="E163" i="1" s="1"/>
  <c r="H164" i="1"/>
  <c r="F164" i="1"/>
  <c r="F163" i="1" s="1"/>
  <c r="G163" i="1" s="1"/>
  <c r="E164" i="1"/>
  <c r="H163" i="1"/>
  <c r="H162" i="1"/>
  <c r="F162" i="1"/>
  <c r="F169" i="1" s="1"/>
  <c r="E162" i="1"/>
  <c r="H161" i="1"/>
  <c r="F161" i="1"/>
  <c r="E161" i="1"/>
  <c r="H160" i="1"/>
  <c r="H169" i="1" s="1"/>
  <c r="G160" i="1"/>
  <c r="F160" i="1"/>
  <c r="E160" i="1"/>
  <c r="E169" i="1" s="1"/>
  <c r="I135" i="1"/>
  <c r="H135" i="1"/>
  <c r="G135" i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I126" i="1" s="1"/>
  <c r="G128" i="1"/>
  <c r="H128" i="1" s="1"/>
  <c r="F128" i="1"/>
  <c r="I127" i="1"/>
  <c r="G127" i="1"/>
  <c r="H127" i="1" s="1"/>
  <c r="H126" i="1" s="1"/>
  <c r="F127" i="1"/>
  <c r="F126" i="1" s="1"/>
  <c r="G126" i="1"/>
  <c r="E126" i="1"/>
  <c r="D126" i="1"/>
  <c r="I125" i="1"/>
  <c r="H125" i="1"/>
  <c r="F125" i="1"/>
  <c r="I124" i="1"/>
  <c r="H124" i="1"/>
  <c r="F124" i="1"/>
  <c r="I123" i="1"/>
  <c r="G123" i="1"/>
  <c r="H123" i="1" s="1"/>
  <c r="F123" i="1"/>
  <c r="I122" i="1"/>
  <c r="I121" i="1" s="1"/>
  <c r="I120" i="1" s="1"/>
  <c r="H122" i="1"/>
  <c r="G122" i="1"/>
  <c r="F122" i="1"/>
  <c r="F121" i="1" s="1"/>
  <c r="F120" i="1" s="1"/>
  <c r="E121" i="1"/>
  <c r="D121" i="1"/>
  <c r="D120" i="1" s="1"/>
  <c r="D137" i="1" s="1"/>
  <c r="E120" i="1"/>
  <c r="I119" i="1"/>
  <c r="F119" i="1"/>
  <c r="I118" i="1"/>
  <c r="G118" i="1"/>
  <c r="H118" i="1" s="1"/>
  <c r="F118" i="1"/>
  <c r="I117" i="1"/>
  <c r="H117" i="1"/>
  <c r="G117" i="1"/>
  <c r="F117" i="1"/>
  <c r="I116" i="1"/>
  <c r="G116" i="1"/>
  <c r="H116" i="1" s="1"/>
  <c r="H115" i="1" s="1"/>
  <c r="F116" i="1"/>
  <c r="I115" i="1"/>
  <c r="F115" i="1"/>
  <c r="F137" i="1" s="1"/>
  <c r="E115" i="1"/>
  <c r="E137" i="1" s="1"/>
  <c r="D115" i="1"/>
  <c r="C113" i="1"/>
  <c r="I93" i="1"/>
  <c r="H93" i="1"/>
  <c r="G93" i="1"/>
  <c r="F93" i="1"/>
  <c r="I92" i="1"/>
  <c r="G92" i="1"/>
  <c r="H92" i="1" s="1"/>
  <c r="F92" i="1"/>
  <c r="I91" i="1"/>
  <c r="H91" i="1"/>
  <c r="G91" i="1"/>
  <c r="F91" i="1"/>
  <c r="I90" i="1"/>
  <c r="G90" i="1"/>
  <c r="H90" i="1" s="1"/>
  <c r="F90" i="1"/>
  <c r="I89" i="1"/>
  <c r="H89" i="1"/>
  <c r="G89" i="1"/>
  <c r="F89" i="1"/>
  <c r="I88" i="1"/>
  <c r="G88" i="1"/>
  <c r="H88" i="1" s="1"/>
  <c r="F88" i="1"/>
  <c r="I87" i="1"/>
  <c r="H87" i="1"/>
  <c r="G87" i="1"/>
  <c r="F87" i="1"/>
  <c r="I86" i="1"/>
  <c r="G86" i="1"/>
  <c r="H86" i="1" s="1"/>
  <c r="F86" i="1"/>
  <c r="I85" i="1"/>
  <c r="H85" i="1"/>
  <c r="G85" i="1"/>
  <c r="F85" i="1"/>
  <c r="I84" i="1"/>
  <c r="G84" i="1"/>
  <c r="G83" i="1" s="1"/>
  <c r="G82" i="1" s="1"/>
  <c r="F84" i="1"/>
  <c r="I83" i="1"/>
  <c r="I82" i="1" s="1"/>
  <c r="F83" i="1"/>
  <c r="E83" i="1"/>
  <c r="D83" i="1"/>
  <c r="F82" i="1"/>
  <c r="E82" i="1"/>
  <c r="D82" i="1"/>
  <c r="I81" i="1"/>
  <c r="G81" i="1"/>
  <c r="G79" i="1" s="1"/>
  <c r="F81" i="1"/>
  <c r="I80" i="1"/>
  <c r="I79" i="1" s="1"/>
  <c r="I94" i="1" s="1"/>
  <c r="H80" i="1"/>
  <c r="G80" i="1"/>
  <c r="F80" i="1"/>
  <c r="F79" i="1" s="1"/>
  <c r="F94" i="1" s="1"/>
  <c r="E79" i="1"/>
  <c r="E94" i="1" s="1"/>
  <c r="D79" i="1"/>
  <c r="D94" i="1" s="1"/>
  <c r="C76" i="1"/>
  <c r="H72" i="1"/>
  <c r="F72" i="1"/>
  <c r="D72" i="1"/>
  <c r="H58" i="1"/>
  <c r="H57" i="1"/>
  <c r="I52" i="1"/>
  <c r="I31" i="1" s="1"/>
  <c r="I26" i="1" s="1"/>
  <c r="H52" i="1"/>
  <c r="G52" i="1"/>
  <c r="F52" i="1"/>
  <c r="F31" i="1" s="1"/>
  <c r="F26" i="1" s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I33" i="1" s="1"/>
  <c r="G34" i="1"/>
  <c r="G33" i="1" s="1"/>
  <c r="F34" i="1"/>
  <c r="F33" i="1" s="1"/>
  <c r="F25" i="1" s="1"/>
  <c r="E33" i="1"/>
  <c r="D33" i="1"/>
  <c r="I32" i="1"/>
  <c r="H32" i="1"/>
  <c r="G32" i="1"/>
  <c r="F32" i="1"/>
  <c r="G31" i="1"/>
  <c r="H31" i="1" s="1"/>
  <c r="I30" i="1"/>
  <c r="H30" i="1"/>
  <c r="G30" i="1"/>
  <c r="F30" i="1"/>
  <c r="I29" i="1"/>
  <c r="G29" i="1"/>
  <c r="H29" i="1" s="1"/>
  <c r="F29" i="1"/>
  <c r="I28" i="1"/>
  <c r="H28" i="1"/>
  <c r="G28" i="1"/>
  <c r="F28" i="1"/>
  <c r="I27" i="1"/>
  <c r="G27" i="1"/>
  <c r="G26" i="1" s="1"/>
  <c r="F27" i="1"/>
  <c r="E26" i="1"/>
  <c r="E25" i="1" s="1"/>
  <c r="D26" i="1"/>
  <c r="D25" i="1"/>
  <c r="I24" i="1"/>
  <c r="G24" i="1"/>
  <c r="H24" i="1" s="1"/>
  <c r="H22" i="1" s="1"/>
  <c r="F24" i="1"/>
  <c r="I23" i="1"/>
  <c r="I22" i="1" s="1"/>
  <c r="H23" i="1"/>
  <c r="G23" i="1"/>
  <c r="F23" i="1"/>
  <c r="F22" i="1" s="1"/>
  <c r="G22" i="1"/>
  <c r="E22" i="1"/>
  <c r="E42" i="1" s="1"/>
  <c r="D22" i="1"/>
  <c r="D42" i="1" s="1"/>
  <c r="H16" i="1"/>
  <c r="F16" i="1"/>
  <c r="D16" i="1"/>
  <c r="H34" i="1" l="1"/>
  <c r="F42" i="1"/>
  <c r="G25" i="1"/>
  <c r="G42" i="1" s="1"/>
  <c r="H33" i="1"/>
  <c r="H25" i="1" s="1"/>
  <c r="H42" i="1" s="1"/>
  <c r="G94" i="1"/>
  <c r="I137" i="1"/>
  <c r="H121" i="1"/>
  <c r="H120" i="1" s="1"/>
  <c r="H137" i="1" s="1"/>
  <c r="F304" i="1"/>
  <c r="G304" i="1" s="1"/>
  <c r="G294" i="1"/>
  <c r="G169" i="1"/>
  <c r="H304" i="1"/>
  <c r="I25" i="1"/>
  <c r="I42" i="1" s="1"/>
  <c r="I273" i="1"/>
  <c r="H81" i="1"/>
  <c r="H79" i="1" s="1"/>
  <c r="H84" i="1"/>
  <c r="H83" i="1" s="1"/>
  <c r="H82" i="1" s="1"/>
  <c r="G115" i="1"/>
  <c r="G137" i="1" s="1"/>
  <c r="G192" i="1"/>
  <c r="H192" i="1" s="1"/>
  <c r="G215" i="1"/>
  <c r="H265" i="1"/>
  <c r="H262" i="1" s="1"/>
  <c r="H273" i="1" s="1"/>
  <c r="H27" i="1"/>
  <c r="H26" i="1" s="1"/>
  <c r="G323" i="1"/>
  <c r="G324" i="1" s="1"/>
  <c r="F206" i="1"/>
  <c r="G206" i="1" s="1"/>
  <c r="G237" i="1"/>
  <c r="G162" i="1"/>
  <c r="H94" i="1" l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<sst xmlns="http://schemas.openxmlformats.org/spreadsheetml/2006/main" count="391" uniqueCount="166">
  <si>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</si>
  <si>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</si>
  <si>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</si>
  <si>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</si>
  <si>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</si>
  <si>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</si>
  <si>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</si>
  <si>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</si>
  <si>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</si>
  <si>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</si>
  <si>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</si>
  <si>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</si>
  <si>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</si>
  <si>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</si>
  <si>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</si>
  <si>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</si>
  <si>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</si>
  <si>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</si>
  <si>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</si>
  <si>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</si>
  <si>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</si>
  <si>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</si>
  <si>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</si>
  <si>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</si>
  <si>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</si>
  <si>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</si>
  <si>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</si>
  <si>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</si>
  <si>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</si>
  <si>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</si>
  <si>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</si>
  <si>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</si>
  <si>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</si>
  <si>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</si>
  <si>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</si>
  <si>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</si>
  <si>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</si>
  <si>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</si>
  <si>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</si>
  <si>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</si>
  <si>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</si>
  <si>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</si>
  <si>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</si>
  <si>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</si>
  <si>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</si>
  <si>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</si>
  <si>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</si>
  <si>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</si>
  <si>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</si>
  <si>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</si>
  <si>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</si>
  <si>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</si>
  <si>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</si>
  <si>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</si>
  <si>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</si>
  <si>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</si>
  <si>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</si>
  <si>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</si>
  <si>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</si>
  <si>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</si>
  <si>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</si>
  <si>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</si>
  <si>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</si>
  <si>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</si>
  <si>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</si>
  <si>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</si>
  <si>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</si>
  <si>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</si>
  <si>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</si>
  <si>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</si>
  <si>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</si>
  <si>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</si>
  <si>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</si>
  <si>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</si>
  <si>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</si>
  <si>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</si>
  <si>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</si>
  <si>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</si>
  <si>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</si>
  <si>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</si>
  <si>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</si>
  <si>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</si>
  <si>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</si>
  <si>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</si>
  <si>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</si>
  <si>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</si>
  <si>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</si>
  <si>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</si>
  <si>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</si>
  <si>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</si>
  <si>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</si>
  <si>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</si>
  <si>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</si>
  <si>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</si>
  <si>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</si>
  <si>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</si>
  <si>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</si>
  <si>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</si>
  <si>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</si>
  <si>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</si>
  <si>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</si>
  <si>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</si>
  <si>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</si>
  <si>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</si>
  <si>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</si>
  <si>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</si>
  <si>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</si>
  <si>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</si>
  <si>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</si>
  <si>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</si>
  <si>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</si>
  <si>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</si>
  <si>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</si>
  <si>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</si>
  <si>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</si>
  <si>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</si>
  <si>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</si>
  <si>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</si>
  <si>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</si>
  <si>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</si>
  <si>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</si>
  <si>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</si>
  <si>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</si>
  <si>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</si>
  <si>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</si>
  <si>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</si>
  <si>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</si>
  <si>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</si>
  <si>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</si>
  <si>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</si>
  <si>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</si>
  <si>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</si>
  <si>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</si>
  <si>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</si>
  <si>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</si>
  <si>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</si>
  <si>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</si>
  <si>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</si>
  <si>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</si>
  <si>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</si>
  <si>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</si>
  <si>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</si>
  <si>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</si>
  <si>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</si>
  <si>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</si>
  <si>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</si>
  <si>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</si>
  <si>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</si>
  <si>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</si>
  <si>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</si>
  <si>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</si>
  <si>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</si>
  <si>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</si>
  <si>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</si>
  <si>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</si>
  <si>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</si>
  <si>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</si>
  <si>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</si>
  <si>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t>2 Registrert rekreasjonsfiske utgjør 36 tonn, men det legges til grunn at hele avsetningen tas</t>
  </si>
  <si>
    <t>4 Registrert rekreasjonsfiske utgjør 155 tonn, men det legges til grunn at hele avsetningen tas</t>
  </si>
  <si>
    <t>3 Registrert rekreasjonsfiske utgjør 609 tonn, men det legges til grunn at hele avsetningen tas</t>
  </si>
  <si>
    <t>FANGST UKE 19</t>
  </si>
  <si>
    <t>FANGST T.O.M UKE 19</t>
  </si>
  <si>
    <t>RESTKVOTER UKE 19</t>
  </si>
  <si>
    <t>FANGST T.O.M UKE 19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</si>
  <si>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311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</si>
</sst>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27" zoomScale="92" zoomScaleNormal="145" zoomScaleSheetLayoutView="100" zoomScalePageLayoutView="85" workbookViewId="0">
      <selection activeCell="G142" sqref="G142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31" t="s">
        <v>139</v>
      </c>
      <c r="C2" s="332"/>
      <c r="D2" s="332"/>
      <c r="E2" s="332"/>
      <c r="F2" s="332"/>
      <c r="G2" s="332"/>
      <c r="H2" s="332"/>
      <c r="I2" s="332"/>
      <c r="J2" s="333"/>
    </row>
    <row r="3" spans="1:10" ht="14.9" customHeight="1" x14ac:dyDescent="0.3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34"/>
      <c r="C9" s="335"/>
      <c r="D9" s="335"/>
      <c r="E9" s="335"/>
      <c r="F9" s="335"/>
      <c r="G9" s="335"/>
      <c r="H9" s="335"/>
      <c r="I9" s="335"/>
      <c r="J9" s="336"/>
    </row>
    <row r="10" spans="1:10" ht="12" customHeight="1" x14ac:dyDescent="0.3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8" t="s">
        <v>1</v>
      </c>
      <c r="D11" s="329"/>
      <c r="E11" s="328" t="s">
        <v>2</v>
      </c>
      <c r="F11" s="329"/>
      <c r="G11" s="328" t="s">
        <v>3</v>
      </c>
      <c r="H11" s="329"/>
      <c r="I11" s="173"/>
      <c r="J11" s="271"/>
    </row>
    <row r="12" spans="1:10" ht="14.15" customHeight="1" x14ac:dyDescent="0.3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3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3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3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5" customHeight="1" x14ac:dyDescent="0.3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35">
      <c r="A17" s="101"/>
      <c r="B17" s="24"/>
      <c r="C17" s="321"/>
      <c r="D17" s="321"/>
      <c r="E17" s="321"/>
      <c r="F17" s="321"/>
      <c r="G17" s="321"/>
      <c r="H17" s="321"/>
      <c r="I17" s="101"/>
      <c r="J17" s="157"/>
    </row>
    <row r="18" spans="1:10" ht="15" customHeight="1" x14ac:dyDescent="0.3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3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3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5" customHeight="1" x14ac:dyDescent="0.35">
      <c r="A22" s="1"/>
      <c r="B22" s="281"/>
      <c r="C22" s="15" t="s">
        <v>19</v>
      </c>
      <c r="D22" s="27">
        <f>D23+D24</f>
        <v>32535</v>
      </c>
      <c r="E22" s="27">
        <f>E23+E24</f>
        <v>33432</v>
      </c>
      <c r="F22" s="27">
        <f t="shared" ref="F22:I22" si="0">F24+F23</f>
        <v>505.99709999999999</v>
      </c>
      <c r="G22" s="27">
        <f t="shared" si="0"/>
        <v>12847.529640000001</v>
      </c>
      <c r="H22" s="10">
        <f>H24+H23</f>
        <v>20584.470359999999</v>
      </c>
      <c r="I22" s="10">
        <f t="shared" si="0"/>
        <v>18185.312619999997</v>
      </c>
      <c r="J22" s="271"/>
    </row>
    <row r="23" spans="1:10" ht="14.15" customHeight="1" x14ac:dyDescent="0.35">
      <c r="A23" s="1"/>
      <c r="B23" s="281"/>
      <c r="C23" s="43" t="s">
        <v>20</v>
      </c>
      <c r="D23" s="44">
        <v>31785</v>
      </c>
      <c r="E23" s="44">
        <v>32689</v>
      </c>
      <c r="F23" s="22">
        <f>505.9971</f>
        <v>505.99709999999999</v>
      </c>
      <c r="G23" s="22">
        <f>12449.93214</f>
        <v>12449.932140000001</v>
      </c>
      <c r="H23" s="22">
        <f>E23-G23</f>
        <v>20239.067859999999</v>
      </c>
      <c r="I23" s="22">
        <f>17888.33662</f>
        <v>17888.336619999998</v>
      </c>
      <c r="J23" s="271"/>
    </row>
    <row r="24" spans="1:10" ht="14.15" customHeight="1" x14ac:dyDescent="0.35">
      <c r="A24" s="1"/>
      <c r="B24" s="281"/>
      <c r="C24" s="47" t="s">
        <v>21</v>
      </c>
      <c r="D24" s="218">
        <v>750</v>
      </c>
      <c r="E24" s="218">
        <v>743</v>
      </c>
      <c r="F24" s="165">
        <f>0</f>
        <v>0</v>
      </c>
      <c r="G24" s="22">
        <f>397.5975</f>
        <v>397.59750000000003</v>
      </c>
      <c r="H24" s="22">
        <f>E24-G24</f>
        <v>345.40249999999997</v>
      </c>
      <c r="I24" s="22">
        <f>296.976</f>
        <v>296.976</v>
      </c>
      <c r="J24" s="271"/>
    </row>
    <row r="25" spans="1:10" ht="14.15" customHeight="1" x14ac:dyDescent="0.35">
      <c r="A25" s="1"/>
      <c r="B25" s="281"/>
      <c r="C25" s="15" t="s">
        <v>22</v>
      </c>
      <c r="D25" s="27">
        <f>D26+D32+D33</f>
        <v>95462</v>
      </c>
      <c r="E25" s="27">
        <f>E26+E32+E33</f>
        <v>98042</v>
      </c>
      <c r="F25" s="27">
        <f t="shared" ref="F25:I25" si="1">F33+F32+F26</f>
        <v>674.65843999999993</v>
      </c>
      <c r="G25" s="10">
        <f t="shared" si="1"/>
        <v>76521.446749999901</v>
      </c>
      <c r="H25" s="10">
        <f>H33+H32+H26</f>
        <v>21520.553250000099</v>
      </c>
      <c r="I25" s="10">
        <f t="shared" si="1"/>
        <v>92056.746039999998</v>
      </c>
      <c r="J25" s="271"/>
    </row>
    <row r="26" spans="1:10" ht="15" customHeight="1" x14ac:dyDescent="0.35">
      <c r="A26" s="49"/>
      <c r="B26" s="51"/>
      <c r="C26" s="54" t="s">
        <v>23</v>
      </c>
      <c r="D26" s="55">
        <f>D27+D28+D29+D30+D31</f>
        <v>75488</v>
      </c>
      <c r="E26" s="55">
        <f>E27+E28+E29+E30+E31</f>
        <v>77858</v>
      </c>
      <c r="F26" s="129">
        <f>F27+F28+F29+F30+F31</f>
        <v>408.72474</v>
      </c>
      <c r="G26" s="129">
        <f>G27+G28+G29+G30+G31</f>
        <v>63138.664649999999</v>
      </c>
      <c r="H26" s="129">
        <f>H27+H28+H29+H30+H31</f>
        <v>14719.335350000001</v>
      </c>
      <c r="I26" s="129">
        <f t="shared" ref="I26" si="2">I27+I28+I29+I30+I31</f>
        <v>75471.743470000001</v>
      </c>
      <c r="J26" s="271"/>
    </row>
    <row r="27" spans="1:10" ht="14.15" customHeight="1" x14ac:dyDescent="0.35">
      <c r="A27" s="192"/>
      <c r="B27" s="176"/>
      <c r="C27" s="60" t="s">
        <v>24</v>
      </c>
      <c r="D27" s="61">
        <v>19164</v>
      </c>
      <c r="E27" s="61">
        <v>20868</v>
      </c>
      <c r="F27" s="209">
        <f>117.07757 - F53</f>
        <v>117.07756999999999</v>
      </c>
      <c r="G27" s="123">
        <f>18753.78831 - G53</f>
        <v>18753.78831</v>
      </c>
      <c r="H27" s="123">
        <f t="shared" ref="H27:H41" si="3">E27-G27</f>
        <v>2114.2116900000001</v>
      </c>
      <c r="I27" s="123">
        <f>21578.80136 - I53</f>
        <v>21578.801360000001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19036</v>
      </c>
      <c r="E28" s="61">
        <v>19720</v>
      </c>
      <c r="F28" s="123">
        <f>138.50793 - F54</f>
        <v>138.50792999999999</v>
      </c>
      <c r="G28" s="123">
        <f>18103.87866 - G54</f>
        <v>18103.878659999998</v>
      </c>
      <c r="H28" s="123">
        <f t="shared" si="3"/>
        <v>1616.1213400000015</v>
      </c>
      <c r="I28" s="123">
        <f>21221.81098 - I54</f>
        <v>21221.810979999998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17407</v>
      </c>
      <c r="E29" s="61">
        <v>17625</v>
      </c>
      <c r="F29" s="123">
        <f>89.55414 - F55</f>
        <v>89.554140000000004</v>
      </c>
      <c r="G29" s="123">
        <f>14947.52895 - G55</f>
        <v>14947.52895</v>
      </c>
      <c r="H29" s="123">
        <f t="shared" si="3"/>
        <v>2677.4710500000001</v>
      </c>
      <c r="I29" s="123">
        <f>19312.58904 - I55</f>
        <v>19312.589039999999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12796</v>
      </c>
      <c r="E30" s="61">
        <v>12954</v>
      </c>
      <c r="F30" s="123">
        <f>63.5851 - F56</f>
        <v>63.585099999999997</v>
      </c>
      <c r="G30" s="123">
        <f>11333.46873 - G56</f>
        <v>11333.468730000001</v>
      </c>
      <c r="H30" s="123">
        <f t="shared" si="3"/>
        <v>1620.5312699999995</v>
      </c>
      <c r="I30" s="123">
        <f>13358.54209 - I56</f>
        <v>13358.542090000001</v>
      </c>
      <c r="J30" s="63"/>
    </row>
    <row r="31" spans="1:10" ht="14.15" customHeight="1" x14ac:dyDescent="0.35">
      <c r="A31" s="192"/>
      <c r="B31" s="176"/>
      <c r="C31" s="60" t="s">
        <v>137</v>
      </c>
      <c r="D31" s="61">
        <v>7085</v>
      </c>
      <c r="E31" s="61">
        <v>6691</v>
      </c>
      <c r="F31" s="123">
        <f>F52</f>
        <v>0</v>
      </c>
      <c r="G31" s="123">
        <f>G52</f>
        <v>0</v>
      </c>
      <c r="H31" s="123">
        <f t="shared" si="3"/>
        <v>6691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10717</v>
      </c>
      <c r="E32" s="55">
        <v>10907</v>
      </c>
      <c r="F32" s="129">
        <f>155.31416</f>
        <v>155.31415999999999</v>
      </c>
      <c r="G32" s="129">
        <f>4220.56257</f>
        <v>4220.5625700000001</v>
      </c>
      <c r="H32" s="129">
        <f t="shared" si="3"/>
        <v>6686.4374299999999</v>
      </c>
      <c r="I32" s="129">
        <f>6463.5943</f>
        <v>6463.5942999999997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9257</v>
      </c>
      <c r="E33" s="55">
        <f>E34+E35</f>
        <v>9277</v>
      </c>
      <c r="F33" s="129">
        <f>F34+F35</f>
        <v>110.61954</v>
      </c>
      <c r="G33" s="129">
        <f>G34+G35</f>
        <v>9162.2195299999003</v>
      </c>
      <c r="H33" s="129">
        <f t="shared" si="3"/>
        <v>114.78047000009974</v>
      </c>
      <c r="I33" s="129">
        <f>I34+I35</f>
        <v>10121.40827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8392</v>
      </c>
      <c r="E34" s="61">
        <v>8412</v>
      </c>
      <c r="F34" s="123">
        <f>184.61954 - F57 - F58</f>
        <v>110.61954</v>
      </c>
      <c r="G34" s="129">
        <f>11475.2195299999 - G57 - G58</f>
        <v>9162.2195299999003</v>
      </c>
      <c r="H34" s="123">
        <f t="shared" si="3"/>
        <v>-750.21952999990026</v>
      </c>
      <c r="I34" s="123">
        <f>11668.40827 - I57 - I58</f>
        <v>10121.40827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865</v>
      </c>
      <c r="E35" s="220">
        <v>865</v>
      </c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35">
      <c r="A36" s="1"/>
      <c r="B36" s="281"/>
      <c r="C36" s="70" t="s">
        <v>32</v>
      </c>
      <c r="D36" s="140">
        <v>500</v>
      </c>
      <c r="E36" s="140">
        <v>500</v>
      </c>
      <c r="F36" s="136">
        <f>0.49</f>
        <v>0.49</v>
      </c>
      <c r="G36" s="136">
        <f>472.212</f>
        <v>472.21199999999999</v>
      </c>
      <c r="H36" s="136">
        <f t="shared" si="3"/>
        <v>27.788000000000011</v>
      </c>
      <c r="I36" s="136">
        <f>261.3884</f>
        <v>261.38839999999999</v>
      </c>
      <c r="J36" s="271"/>
    </row>
    <row r="37" spans="1:10" ht="14.15" customHeight="1" x14ac:dyDescent="0.35">
      <c r="A37" s="1"/>
      <c r="B37" s="281"/>
      <c r="C37" s="70" t="s">
        <v>33</v>
      </c>
      <c r="D37" s="140">
        <v>880</v>
      </c>
      <c r="E37" s="140">
        <v>880</v>
      </c>
      <c r="F37" s="95">
        <f>2.8365</f>
        <v>2.8365</v>
      </c>
      <c r="G37" s="95">
        <f>523.8606</f>
        <v>523.86059999999998</v>
      </c>
      <c r="H37" s="95">
        <f t="shared" si="3"/>
        <v>356.13940000000002</v>
      </c>
      <c r="I37" s="95">
        <f>538.21717</f>
        <v>538.21717000000001</v>
      </c>
      <c r="J37" s="271"/>
    </row>
    <row r="38" spans="1:10" ht="17.25" customHeight="1" x14ac:dyDescent="0.35">
      <c r="A38" s="1"/>
      <c r="B38" s="281"/>
      <c r="C38" s="70" t="s">
        <v>34</v>
      </c>
      <c r="D38" s="140">
        <v>3000</v>
      </c>
      <c r="E38" s="140">
        <v>3000</v>
      </c>
      <c r="F38" s="95">
        <f>F58</f>
        <v>74</v>
      </c>
      <c r="G38" s="95">
        <f>G58</f>
        <v>2313</v>
      </c>
      <c r="H38" s="95">
        <f t="shared" si="3"/>
        <v>687</v>
      </c>
      <c r="I38" s="95">
        <f>I58</f>
        <v>1547</v>
      </c>
      <c r="J38" s="271"/>
    </row>
    <row r="39" spans="1:10" ht="17.25" customHeight="1" x14ac:dyDescent="0.35">
      <c r="A39" s="1"/>
      <c r="B39" s="281"/>
      <c r="C39" s="70" t="s">
        <v>35</v>
      </c>
      <c r="D39" s="140">
        <v>7000</v>
      </c>
      <c r="E39" s="140">
        <v>7000</v>
      </c>
      <c r="F39" s="95">
        <f>8.9021</f>
        <v>8.9021000000000008</v>
      </c>
      <c r="G39" s="95">
        <f>E39</f>
        <v>7000</v>
      </c>
      <c r="H39" s="95">
        <f t="shared" si="3"/>
        <v>0</v>
      </c>
      <c r="I39" s="95">
        <f>E39</f>
        <v>7000</v>
      </c>
      <c r="J39" s="271"/>
    </row>
    <row r="40" spans="1:10" ht="17.25" customHeight="1" x14ac:dyDescent="0.35">
      <c r="A40" s="1"/>
      <c r="B40" s="281"/>
      <c r="C40" s="70" t="s">
        <v>37</v>
      </c>
      <c r="D40" s="140">
        <v>450</v>
      </c>
      <c r="E40" s="140">
        <v>450</v>
      </c>
      <c r="F40" s="95">
        <f>2.33346</f>
        <v>2.3334600000000001</v>
      </c>
      <c r="G40" s="95">
        <f>381.98329</f>
        <v>381.98329000000001</v>
      </c>
      <c r="H40" s="95">
        <f t="shared" si="3"/>
        <v>68.016709999999989</v>
      </c>
      <c r="I40" s="95">
        <f>348.4368</f>
        <v>348.43680000000001</v>
      </c>
      <c r="J40" s="271"/>
    </row>
    <row r="41" spans="1:10" ht="14.15" customHeight="1" x14ac:dyDescent="0.35">
      <c r="A41" s="1"/>
      <c r="B41" s="281"/>
      <c r="C41" s="70" t="s">
        <v>38</v>
      </c>
      <c r="D41" s="140"/>
      <c r="E41" s="136"/>
      <c r="F41" s="136">
        <f>0</f>
        <v>0</v>
      </c>
      <c r="G41" s="136">
        <f>41.38355</f>
        <v>41.38355</v>
      </c>
      <c r="H41" s="136">
        <f t="shared" si="3"/>
        <v>-41.38355</v>
      </c>
      <c r="I41" s="136">
        <f>53.62168</f>
        <v>53.621679999999998</v>
      </c>
      <c r="J41" s="271"/>
    </row>
    <row r="42" spans="1:10" ht="16.5" customHeight="1" x14ac:dyDescent="0.3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143304</v>
      </c>
      <c r="F42" s="73">
        <f t="shared" ref="F42:I42" si="4">F22+F25+F36+F37+F38+F39+F40+F41</f>
        <v>1269.2175999999999</v>
      </c>
      <c r="G42" s="73">
        <f t="shared" si="4"/>
        <v>100101.41582999991</v>
      </c>
      <c r="H42" s="73">
        <f>H22+H25+H36+H37+H38+H39+H40+H41</f>
        <v>43202.584170000104</v>
      </c>
      <c r="I42" s="73">
        <f t="shared" si="4"/>
        <v>119990.72270999999</v>
      </c>
      <c r="J42" s="271"/>
    </row>
    <row r="43" spans="1:10" ht="14.15" customHeight="1" x14ac:dyDescent="0.3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5" customHeight="1" x14ac:dyDescent="0.3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5" customHeight="1" x14ac:dyDescent="0.3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35">
      <c r="A49" s="101"/>
      <c r="B49" s="24"/>
      <c r="C49" s="324" t="s">
        <v>138</v>
      </c>
      <c r="D49" s="324"/>
      <c r="E49" s="324"/>
      <c r="F49" s="324"/>
      <c r="G49" s="324"/>
      <c r="H49" s="324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5" customHeight="1" x14ac:dyDescent="0.35">
      <c r="A52" s="101"/>
      <c r="B52" s="24"/>
      <c r="C52" s="15" t="s">
        <v>42</v>
      </c>
      <c r="D52" s="325">
        <v>7085</v>
      </c>
      <c r="E52" s="325">
        <v>6691</v>
      </c>
      <c r="F52" s="10">
        <f>F56+F55+F54+F53</f>
        <v>0</v>
      </c>
      <c r="G52" s="10">
        <f>G56+G55+G54+G53</f>
        <v>0</v>
      </c>
      <c r="H52" s="325">
        <f>E52-G52</f>
        <v>6691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26"/>
      <c r="E53" s="326"/>
      <c r="F53" s="123"/>
      <c r="G53" s="123"/>
      <c r="H53" s="326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26"/>
      <c r="E54" s="326"/>
      <c r="F54" s="123"/>
      <c r="G54" s="123"/>
      <c r="H54" s="326"/>
      <c r="I54" s="123"/>
      <c r="J54" s="271"/>
    </row>
    <row r="55" spans="1:10" ht="14.15" customHeight="1" x14ac:dyDescent="0.35">
      <c r="A55" s="101"/>
      <c r="B55" s="24"/>
      <c r="C55" s="60" t="s">
        <v>26</v>
      </c>
      <c r="D55" s="326"/>
      <c r="E55" s="326"/>
      <c r="F55" s="123"/>
      <c r="G55" s="123"/>
      <c r="H55" s="326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27"/>
      <c r="E56" s="327"/>
      <c r="F56" s="186"/>
      <c r="G56" s="186"/>
      <c r="H56" s="327"/>
      <c r="I56" s="186"/>
      <c r="J56" s="117"/>
    </row>
    <row r="57" spans="1:10" ht="14.15" customHeight="1" x14ac:dyDescent="0.35">
      <c r="A57" s="101"/>
      <c r="B57" s="24"/>
      <c r="C57" s="85" t="s">
        <v>43</v>
      </c>
      <c r="D57" s="92">
        <v>865</v>
      </c>
      <c r="E57" s="92">
        <v>865</v>
      </c>
      <c r="F57" s="92"/>
      <c r="G57" s="92"/>
      <c r="H57" s="92">
        <f>E57-G57</f>
        <v>865</v>
      </c>
      <c r="I57" s="92"/>
      <c r="J57" s="271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>
        <v>3000</v>
      </c>
      <c r="F58" s="136">
        <v>74</v>
      </c>
      <c r="G58" s="136">
        <v>2313</v>
      </c>
      <c r="H58" s="136">
        <f>E58-G58</f>
        <v>687</v>
      </c>
      <c r="I58" s="136">
        <v>1547</v>
      </c>
      <c r="J58" s="117"/>
    </row>
    <row r="59" spans="1:10" ht="14.15" customHeight="1" x14ac:dyDescent="0.3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8" t="s">
        <v>1</v>
      </c>
      <c r="D68" s="329"/>
      <c r="E68" s="328" t="s">
        <v>2</v>
      </c>
      <c r="F68" s="330"/>
      <c r="G68" s="328" t="s">
        <v>3</v>
      </c>
      <c r="H68" s="329"/>
      <c r="I68" s="173"/>
      <c r="J68" s="271"/>
    </row>
    <row r="69" spans="1:10" ht="15" customHeight="1" x14ac:dyDescent="0.3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3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5" customHeight="1" x14ac:dyDescent="0.3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3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35">
      <c r="A73" s="1"/>
      <c r="B73" s="281"/>
      <c r="C73" s="101"/>
      <c r="D73" s="244"/>
      <c r="E73" s="244"/>
      <c r="F73" s="244"/>
      <c r="G73" s="244"/>
      <c r="H73" s="244"/>
      <c r="I73" s="263"/>
      <c r="J73" s="117"/>
    </row>
    <row r="74" spans="1:10" ht="6" customHeight="1" x14ac:dyDescent="0.3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5" customHeight="1" x14ac:dyDescent="0.3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3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3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35">
      <c r="A79" s="1"/>
      <c r="B79" s="281"/>
      <c r="C79" s="31" t="s">
        <v>19</v>
      </c>
      <c r="D79" s="27">
        <f>D80+D81</f>
        <v>28395</v>
      </c>
      <c r="E79" s="27">
        <f>E81+E80</f>
        <v>28879</v>
      </c>
      <c r="F79" s="10">
        <f t="shared" ref="F79:I79" si="5">F81+F80</f>
        <v>890.21355000000005</v>
      </c>
      <c r="G79" s="10">
        <f t="shared" si="5"/>
        <v>20126.50102</v>
      </c>
      <c r="H79" s="10">
        <f>H81+H80</f>
        <v>8752.4989800000003</v>
      </c>
      <c r="I79" s="10">
        <f t="shared" si="5"/>
        <v>18188.502820000002</v>
      </c>
      <c r="J79" s="271"/>
    </row>
    <row r="80" spans="1:10" ht="15" customHeight="1" x14ac:dyDescent="0.35">
      <c r="A80" s="1"/>
      <c r="B80" s="281"/>
      <c r="C80" s="43" t="s">
        <v>20</v>
      </c>
      <c r="D80" s="44">
        <v>27645</v>
      </c>
      <c r="E80" s="44">
        <v>28123</v>
      </c>
      <c r="F80" s="22">
        <f>890.21355</f>
        <v>890.21355000000005</v>
      </c>
      <c r="G80" s="22">
        <f>19623.20669</f>
        <v>19623.206689999999</v>
      </c>
      <c r="H80" s="22">
        <f>E80-G80</f>
        <v>8499.7933100000009</v>
      </c>
      <c r="I80" s="22">
        <f>17778.39942</f>
        <v>17778.399420000002</v>
      </c>
      <c r="J80" s="271"/>
    </row>
    <row r="81" spans="1:10" ht="14.15" customHeight="1" x14ac:dyDescent="0.35">
      <c r="A81" s="1"/>
      <c r="B81" s="281"/>
      <c r="C81" s="62" t="s">
        <v>21</v>
      </c>
      <c r="D81" s="218">
        <v>750</v>
      </c>
      <c r="E81" s="218">
        <v>756</v>
      </c>
      <c r="F81" s="48">
        <f>0</f>
        <v>0</v>
      </c>
      <c r="G81" s="48">
        <f>503.29433</f>
        <v>503.29433</v>
      </c>
      <c r="H81" s="48">
        <f>E81-G81</f>
        <v>252.70567</v>
      </c>
      <c r="I81" s="48">
        <f>410.1034</f>
        <v>410.10340000000002</v>
      </c>
      <c r="J81" s="271"/>
    </row>
    <row r="82" spans="1:10" ht="15.75" customHeight="1" x14ac:dyDescent="0.35">
      <c r="A82" s="1"/>
      <c r="B82" s="50"/>
      <c r="C82" s="15" t="s">
        <v>22</v>
      </c>
      <c r="D82" s="27">
        <f>D83+D88+D89</f>
        <v>47281</v>
      </c>
      <c r="E82" s="27">
        <f>E83+E88+E89</f>
        <v>50748</v>
      </c>
      <c r="F82" s="10">
        <f t="shared" ref="F82:I82" si="6">F83+F88+F89</f>
        <v>1201.61473</v>
      </c>
      <c r="G82" s="10">
        <f t="shared" si="6"/>
        <v>17191.702989999969</v>
      </c>
      <c r="H82" s="10">
        <f>H83+H88+H89</f>
        <v>33556.297010000031</v>
      </c>
      <c r="I82" s="10">
        <f t="shared" si="6"/>
        <v>19308.157129999978</v>
      </c>
      <c r="J82" s="271"/>
    </row>
    <row r="83" spans="1:10" ht="14.15" customHeight="1" x14ac:dyDescent="0.35">
      <c r="A83" s="1"/>
      <c r="B83" s="51"/>
      <c r="C83" s="54" t="s">
        <v>23</v>
      </c>
      <c r="D83" s="55">
        <f>D84+D85+D86+D87</f>
        <v>35236</v>
      </c>
      <c r="E83" s="55">
        <f>E87+E86+E85+E84</f>
        <v>37462</v>
      </c>
      <c r="F83" s="129">
        <f t="shared" ref="F83:I83" si="7">F84+F85+F86+F87</f>
        <v>1002.44124</v>
      </c>
      <c r="G83" s="129">
        <f t="shared" si="7"/>
        <v>13053.71101999997</v>
      </c>
      <c r="H83" s="129">
        <f>H84+H85+H86+H87</f>
        <v>24408.28898000003</v>
      </c>
      <c r="I83" s="129">
        <f t="shared" si="7"/>
        <v>15601.18425999996</v>
      </c>
      <c r="J83" s="271"/>
    </row>
    <row r="84" spans="1:10" ht="14.15" customHeight="1" x14ac:dyDescent="0.35">
      <c r="A84" s="192"/>
      <c r="B84" s="176"/>
      <c r="C84" s="60" t="s">
        <v>24</v>
      </c>
      <c r="D84" s="61">
        <v>9425</v>
      </c>
      <c r="E84" s="61">
        <v>10382</v>
      </c>
      <c r="F84" s="123">
        <f>39.30869</f>
        <v>39.308689999999999</v>
      </c>
      <c r="G84" s="123">
        <f>2374.75877999998</f>
        <v>2374.7587799999801</v>
      </c>
      <c r="H84" s="123">
        <f t="shared" ref="H84:H93" si="8">E84-G84</f>
        <v>8007.2412200000199</v>
      </c>
      <c r="I84" s="123">
        <f>2443.93259999998</f>
        <v>2443.9325999999801</v>
      </c>
      <c r="J84" s="271"/>
    </row>
    <row r="85" spans="1:10" ht="14.15" customHeight="1" x14ac:dyDescent="0.35">
      <c r="A85" s="192"/>
      <c r="B85" s="176"/>
      <c r="C85" s="60" t="s">
        <v>48</v>
      </c>
      <c r="D85" s="61">
        <v>9801</v>
      </c>
      <c r="E85" s="61">
        <v>10815</v>
      </c>
      <c r="F85" s="123">
        <f>539.9655</f>
        <v>539.96550000000002</v>
      </c>
      <c r="G85" s="123">
        <f>4570.03877999999</f>
        <v>4570.0387799999899</v>
      </c>
      <c r="H85" s="123">
        <f t="shared" si="8"/>
        <v>6244.9612200000101</v>
      </c>
      <c r="I85" s="123">
        <f>3957.81385999998</f>
        <v>3957.8138599999802</v>
      </c>
      <c r="J85" s="271"/>
    </row>
    <row r="86" spans="1:10" ht="14.15" customHeight="1" x14ac:dyDescent="0.35">
      <c r="A86" s="192"/>
      <c r="B86" s="176"/>
      <c r="C86" s="60" t="s">
        <v>49</v>
      </c>
      <c r="D86" s="61">
        <v>9599</v>
      </c>
      <c r="E86" s="61">
        <v>9753</v>
      </c>
      <c r="F86" s="123">
        <f>266.23086</f>
        <v>266.23086000000001</v>
      </c>
      <c r="G86" s="123">
        <f>3920.29553</f>
        <v>3920.2955299999999</v>
      </c>
      <c r="H86" s="123">
        <f t="shared" si="8"/>
        <v>5832.7044700000006</v>
      </c>
      <c r="I86" s="123">
        <f>5204.00705</f>
        <v>5204.0070500000002</v>
      </c>
      <c r="J86" s="271"/>
    </row>
    <row r="87" spans="1:10" ht="14.15" customHeight="1" x14ac:dyDescent="0.35">
      <c r="A87" s="192"/>
      <c r="B87" s="176"/>
      <c r="C87" s="60" t="s">
        <v>27</v>
      </c>
      <c r="D87" s="61">
        <v>6411</v>
      </c>
      <c r="E87" s="61">
        <v>6512</v>
      </c>
      <c r="F87" s="123">
        <f>156.93619</f>
        <v>156.93619000000001</v>
      </c>
      <c r="G87" s="123">
        <f>2188.61793</f>
        <v>2188.6179299999999</v>
      </c>
      <c r="H87" s="123">
        <f t="shared" si="8"/>
        <v>4323.3820699999997</v>
      </c>
      <c r="I87" s="123">
        <f>3995.43075</f>
        <v>3995.43075</v>
      </c>
      <c r="J87" s="271"/>
    </row>
    <row r="88" spans="1:10" ht="14.15" customHeight="1" x14ac:dyDescent="0.35">
      <c r="A88" s="192"/>
      <c r="B88" s="176"/>
      <c r="C88" s="54" t="s">
        <v>50</v>
      </c>
      <c r="D88" s="55">
        <v>8339</v>
      </c>
      <c r="E88" s="55">
        <v>9205</v>
      </c>
      <c r="F88" s="129">
        <f>176.0434</f>
        <v>176.04339999999999</v>
      </c>
      <c r="G88" s="129">
        <f>2939.45557</f>
        <v>2939.4555700000001</v>
      </c>
      <c r="H88" s="129">
        <f t="shared" si="8"/>
        <v>6265.5444299999999</v>
      </c>
      <c r="I88" s="129">
        <f>2679.41354</f>
        <v>2679.41354</v>
      </c>
      <c r="J88" s="271"/>
    </row>
    <row r="89" spans="1:10" ht="15.75" customHeight="1" x14ac:dyDescent="0.35">
      <c r="A89" s="1"/>
      <c r="B89" s="51"/>
      <c r="C89" s="37" t="s">
        <v>11</v>
      </c>
      <c r="D89" s="59">
        <v>3706</v>
      </c>
      <c r="E89" s="59">
        <v>4081</v>
      </c>
      <c r="F89" s="72">
        <f>23.13009</f>
        <v>23.130089999999999</v>
      </c>
      <c r="G89" s="72">
        <f>1198.5364</f>
        <v>1198.5364</v>
      </c>
      <c r="H89" s="72">
        <f t="shared" si="8"/>
        <v>2882.4636</v>
      </c>
      <c r="I89" s="72">
        <f>1027.55933000002</f>
        <v>1027.5593300000201</v>
      </c>
      <c r="J89" s="271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0.07284</f>
        <v>7.2840000000000002E-2</v>
      </c>
      <c r="G90" s="95">
        <f>11.61007</f>
        <v>11.61007</v>
      </c>
      <c r="H90" s="95">
        <f t="shared" si="8"/>
        <v>307.38992999999999</v>
      </c>
      <c r="I90" s="95">
        <f>27.11445</f>
        <v>27.114450000000001</v>
      </c>
      <c r="J90" s="271"/>
    </row>
    <row r="91" spans="1:10" ht="18" customHeight="1" x14ac:dyDescent="0.35">
      <c r="A91" s="1"/>
      <c r="B91" s="281"/>
      <c r="C91" s="70" t="s">
        <v>51</v>
      </c>
      <c r="D91" s="140">
        <v>300</v>
      </c>
      <c r="E91" s="140">
        <v>300</v>
      </c>
      <c r="F91" s="136">
        <f>0.26968</f>
        <v>0.26967999999999998</v>
      </c>
      <c r="G91" s="136">
        <f>E91</f>
        <v>300</v>
      </c>
      <c r="H91" s="136">
        <f t="shared" si="8"/>
        <v>0</v>
      </c>
      <c r="I91" s="136">
        <f>E91</f>
        <v>300</v>
      </c>
      <c r="J91" s="271"/>
    </row>
    <row r="92" spans="1:10" ht="16.5" customHeight="1" x14ac:dyDescent="0.35">
      <c r="A92" s="1"/>
      <c r="B92" s="281"/>
      <c r="C92" s="89" t="s">
        <v>37</v>
      </c>
      <c r="D92" s="140">
        <v>50</v>
      </c>
      <c r="E92" s="140">
        <v>50</v>
      </c>
      <c r="F92" s="95">
        <f>0.09825</f>
        <v>9.8250000000000004E-2</v>
      </c>
      <c r="G92" s="95">
        <f>3.31098</f>
        <v>3.3109799999999998</v>
      </c>
      <c r="H92" s="136">
        <f t="shared" si="8"/>
        <v>46.689019999999999</v>
      </c>
      <c r="I92" s="95">
        <f>11.46801</f>
        <v>11.46801</v>
      </c>
      <c r="J92" s="271"/>
    </row>
    <row r="93" spans="1:10" ht="18" customHeight="1" x14ac:dyDescent="0.35">
      <c r="A93" s="1"/>
      <c r="B93" s="281"/>
      <c r="C93" s="89" t="s">
        <v>52</v>
      </c>
      <c r="D93" s="140"/>
      <c r="E93" s="136"/>
      <c r="F93" s="136">
        <f>0</f>
        <v>0</v>
      </c>
      <c r="G93" s="136">
        <f>8.6115</f>
        <v>8.6114999999999995</v>
      </c>
      <c r="H93" s="136">
        <f t="shared" si="8"/>
        <v>-8.6114999999999995</v>
      </c>
      <c r="I93" s="136">
        <f>5.1777</f>
        <v>5.1776999999999997</v>
      </c>
      <c r="J93" s="271"/>
    </row>
    <row r="94" spans="1:10" ht="16.5" customHeight="1" x14ac:dyDescent="0.3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80296</v>
      </c>
      <c r="F94" s="73">
        <f t="shared" ref="F94:I94" si="10">F79+F82+F90+F91+F92+F93</f>
        <v>2092.2690499999999</v>
      </c>
      <c r="G94" s="73">
        <f t="shared" si="10"/>
        <v>37641.736559999976</v>
      </c>
      <c r="H94" s="73">
        <f>H79+H82+H90+H91+H92+H93</f>
        <v>42654.263440000024</v>
      </c>
      <c r="I94" s="73">
        <f t="shared" si="10"/>
        <v>37840.420109999977</v>
      </c>
      <c r="J94" s="271"/>
    </row>
    <row r="95" spans="1:10" ht="13.5" customHeight="1" x14ac:dyDescent="0.3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3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3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3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5" customHeight="1" x14ac:dyDescent="0.3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5" customHeight="1" x14ac:dyDescent="0.3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5" customHeight="1" x14ac:dyDescent="0.3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5" customHeight="1" x14ac:dyDescent="0.3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3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3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3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5" customHeight="1" x14ac:dyDescent="0.35">
      <c r="A115" s="1"/>
      <c r="B115" s="281"/>
      <c r="C115" s="15" t="s">
        <v>58</v>
      </c>
      <c r="D115" s="27">
        <f>D116+D117+D118</f>
        <v>54246</v>
      </c>
      <c r="E115" s="27">
        <f>E116+E117+E118</f>
        <v>54246</v>
      </c>
      <c r="F115" s="10">
        <f t="shared" ref="F115:I115" si="11">F116+F117+F118</f>
        <v>1182.7803200000001</v>
      </c>
      <c r="G115" s="10">
        <f t="shared" si="11"/>
        <v>17183.718830000002</v>
      </c>
      <c r="H115" s="10">
        <f t="shared" si="11"/>
        <v>37062.281170000002</v>
      </c>
      <c r="I115" s="10">
        <f t="shared" si="11"/>
        <v>28170.971969999999</v>
      </c>
      <c r="J115" s="271"/>
    </row>
    <row r="116" spans="1:10" ht="14.15" customHeight="1" x14ac:dyDescent="0.35">
      <c r="A116" s="1"/>
      <c r="B116" s="281"/>
      <c r="C116" s="43" t="s">
        <v>20</v>
      </c>
      <c r="D116" s="44">
        <v>43397</v>
      </c>
      <c r="E116" s="44">
        <v>43397</v>
      </c>
      <c r="F116" s="22">
        <f>1182.78032</f>
        <v>1182.7803200000001</v>
      </c>
      <c r="G116" s="22">
        <f>14824.41378</f>
        <v>14824.413780000001</v>
      </c>
      <c r="H116" s="22">
        <f>E116-G116</f>
        <v>28572.586219999997</v>
      </c>
      <c r="I116" s="22">
        <f>25005.59317</f>
        <v>25005.59317</v>
      </c>
      <c r="J116" s="271"/>
    </row>
    <row r="117" spans="1:10" ht="15" customHeight="1" x14ac:dyDescent="0.35">
      <c r="A117" s="1"/>
      <c r="B117" s="281"/>
      <c r="C117" s="43" t="s">
        <v>21</v>
      </c>
      <c r="D117" s="44">
        <v>10349</v>
      </c>
      <c r="E117" s="44">
        <v>10349</v>
      </c>
      <c r="F117" s="22">
        <f>0</f>
        <v>0</v>
      </c>
      <c r="G117" s="22">
        <f>2286.36455</f>
        <v>2286.3645499999998</v>
      </c>
      <c r="H117" s="22">
        <f>E117-G117</f>
        <v>8062.6354499999998</v>
      </c>
      <c r="I117" s="22">
        <f>3100.0212</f>
        <v>3100.0212000000001</v>
      </c>
      <c r="J117" s="271"/>
    </row>
    <row r="118" spans="1:10" ht="13.5" customHeight="1" x14ac:dyDescent="0.35">
      <c r="A118" s="1"/>
      <c r="B118" s="281"/>
      <c r="C118" s="47" t="s">
        <v>59</v>
      </c>
      <c r="D118" s="32">
        <v>500</v>
      </c>
      <c r="E118" s="32">
        <v>500</v>
      </c>
      <c r="F118" s="22">
        <f>0</f>
        <v>0</v>
      </c>
      <c r="G118" s="22">
        <f>72.9405</f>
        <v>72.9405</v>
      </c>
      <c r="H118" s="53">
        <f>E118-G118</f>
        <v>427.05950000000001</v>
      </c>
      <c r="I118" s="22">
        <f>65.3576</f>
        <v>65.357600000000005</v>
      </c>
      <c r="J118" s="271"/>
    </row>
    <row r="119" spans="1:10" ht="14.25" customHeight="1" x14ac:dyDescent="0.35">
      <c r="A119" s="65"/>
      <c r="B119" s="75"/>
      <c r="C119" s="85" t="s">
        <v>60</v>
      </c>
      <c r="D119" s="87">
        <v>36653</v>
      </c>
      <c r="E119" s="87">
        <v>36653</v>
      </c>
      <c r="F119" s="92">
        <f>0</f>
        <v>0</v>
      </c>
      <c r="G119" s="92">
        <f>3515.863+21.8318+289.2993</f>
        <v>3826.9940999999999</v>
      </c>
      <c r="H119" s="92">
        <f>E119-G119</f>
        <v>32826.005900000004</v>
      </c>
      <c r="I119" s="92">
        <f>1941.7936</f>
        <v>1941.7936</v>
      </c>
      <c r="J119" s="111"/>
    </row>
    <row r="120" spans="1:10" ht="15.75" customHeight="1" x14ac:dyDescent="0.35">
      <c r="A120" s="1"/>
      <c r="B120" s="281"/>
      <c r="C120" s="139" t="s">
        <v>22</v>
      </c>
      <c r="D120" s="140">
        <f>D121+D126+D129</f>
        <v>57110</v>
      </c>
      <c r="E120" s="140">
        <f>E121+E126+E129</f>
        <v>57110</v>
      </c>
      <c r="F120" s="91">
        <f>F121+F126+F129</f>
        <v>324.57355000000001</v>
      </c>
      <c r="G120" s="91">
        <f t="shared" ref="G120" si="12">G121+G126+G129</f>
        <v>19603.01010000001</v>
      </c>
      <c r="H120" s="91">
        <f>H121+H126+H129</f>
        <v>37506.989899999986</v>
      </c>
      <c r="I120" s="91">
        <f>I121+I126+I129</f>
        <v>33431.936789999992</v>
      </c>
      <c r="J120" s="117"/>
    </row>
    <row r="121" spans="1:10" ht="14.15" customHeight="1" x14ac:dyDescent="0.3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43182</v>
      </c>
      <c r="F121" s="121">
        <f>F122+F123+F124+F125</f>
        <v>235.51358000000002</v>
      </c>
      <c r="G121" s="121">
        <f>G122+G123+G125+G124</f>
        <v>14982.18299000001</v>
      </c>
      <c r="H121" s="121">
        <f>H122+H123+H124+H125</f>
        <v>28199.817009999988</v>
      </c>
      <c r="I121" s="121">
        <f>I122+I123+I124+I125</f>
        <v>24968.021899999989</v>
      </c>
      <c r="J121" s="305"/>
    </row>
    <row r="122" spans="1:10" ht="14.15" customHeight="1" x14ac:dyDescent="0.35">
      <c r="A122" s="192"/>
      <c r="B122" s="122"/>
      <c r="C122" s="60" t="s">
        <v>24</v>
      </c>
      <c r="D122" s="61">
        <v>11476</v>
      </c>
      <c r="E122" s="61">
        <v>11476</v>
      </c>
      <c r="F122" s="123">
        <f>82.75579</f>
        <v>82.755790000000005</v>
      </c>
      <c r="G122" s="123">
        <f>4101.45856</f>
        <v>4101.45856</v>
      </c>
      <c r="H122" s="123">
        <f>E122-G122</f>
        <v>7374.54144</v>
      </c>
      <c r="I122" s="123">
        <f>5521.84283</f>
        <v>5521.8428299999996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11835</v>
      </c>
      <c r="E123" s="61">
        <v>11835</v>
      </c>
      <c r="F123" s="123">
        <f>34.02459</f>
        <v>34.024590000000003</v>
      </c>
      <c r="G123" s="123">
        <f>4653.58942000001</f>
        <v>4653.5894200000103</v>
      </c>
      <c r="H123" s="123">
        <f>E123-G123</f>
        <v>7181.4105799999897</v>
      </c>
      <c r="I123" s="123">
        <f>7529.71811999999</f>
        <v>7529.7181199999904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10473</v>
      </c>
      <c r="E124" s="61">
        <v>10473</v>
      </c>
      <c r="F124" s="123">
        <f>51.6099</f>
        <v>51.609900000000003</v>
      </c>
      <c r="G124" s="123">
        <f>3241.0339-21.8318</f>
        <v>3219.2021</v>
      </c>
      <c r="H124" s="123">
        <f>E124-G124</f>
        <v>7253.7978999999996</v>
      </c>
      <c r="I124" s="123">
        <f>5678.34587</f>
        <v>5678.3458700000001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9398</v>
      </c>
      <c r="E125" s="61">
        <v>9398</v>
      </c>
      <c r="F125" s="123">
        <f>67.1233</f>
        <v>67.1233</v>
      </c>
      <c r="G125" s="123">
        <f>3297.23221-289.2993</f>
        <v>3007.93291</v>
      </c>
      <c r="H125" s="123">
        <f>E125-G125</f>
        <v>6390.0670900000005</v>
      </c>
      <c r="I125" s="123">
        <f>6238.11508</f>
        <v>6238.1150799999996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6128</v>
      </c>
      <c r="E126" s="55">
        <f>E127+E128</f>
        <v>6128</v>
      </c>
      <c r="F126" s="129">
        <f>SUM(F127:F128)</f>
        <v>0.68400000000000005</v>
      </c>
      <c r="G126" s="129">
        <f>SUM(G127:G128)</f>
        <v>1841.7850100000001</v>
      </c>
      <c r="H126" s="129">
        <f>H127+H128</f>
        <v>4286.2149899999995</v>
      </c>
      <c r="I126" s="129">
        <f>SUM(I127:I128)</f>
        <v>5726.2914499999997</v>
      </c>
      <c r="J126" s="130"/>
    </row>
    <row r="127" spans="1:10" ht="14.15" customHeight="1" x14ac:dyDescent="0.35">
      <c r="A127" s="1"/>
      <c r="B127" s="281"/>
      <c r="C127" s="60" t="s">
        <v>62</v>
      </c>
      <c r="D127" s="61">
        <v>5628</v>
      </c>
      <c r="E127" s="61">
        <v>5628</v>
      </c>
      <c r="F127" s="123">
        <f>0</f>
        <v>0</v>
      </c>
      <c r="G127" s="123">
        <f>1674.77584</f>
        <v>1674.77584</v>
      </c>
      <c r="H127" s="123">
        <f t="shared" ref="H127:H135" si="13">E127-G127</f>
        <v>3953.2241599999998</v>
      </c>
      <c r="I127" s="123">
        <f>5610.78668</f>
        <v>5610.7866800000002</v>
      </c>
      <c r="J127" s="117"/>
    </row>
    <row r="128" spans="1:10" ht="15" customHeight="1" x14ac:dyDescent="0.35">
      <c r="A128" s="1"/>
      <c r="B128" s="51"/>
      <c r="C128" s="60" t="s">
        <v>63</v>
      </c>
      <c r="D128" s="61">
        <v>500</v>
      </c>
      <c r="E128" s="61">
        <v>500</v>
      </c>
      <c r="F128" s="123">
        <f>0.684</f>
        <v>0.68400000000000005</v>
      </c>
      <c r="G128" s="123">
        <f>167.00917</f>
        <v>167.00917000000001</v>
      </c>
      <c r="H128" s="123">
        <f t="shared" si="13"/>
        <v>332.99082999999996</v>
      </c>
      <c r="I128" s="123">
        <f>115.50477</f>
        <v>115.50476999999999</v>
      </c>
      <c r="J128" s="131"/>
    </row>
    <row r="129" spans="1:10" ht="15.75" customHeight="1" x14ac:dyDescent="0.35">
      <c r="A129" s="1"/>
      <c r="B129" s="281"/>
      <c r="C129" s="37" t="s">
        <v>11</v>
      </c>
      <c r="D129" s="59">
        <v>7800</v>
      </c>
      <c r="E129" s="59">
        <v>7800</v>
      </c>
      <c r="F129" s="72">
        <f>88.37597</f>
        <v>88.375969999999995</v>
      </c>
      <c r="G129" s="72">
        <f>2779.0421</f>
        <v>2779.0421000000001</v>
      </c>
      <c r="H129" s="72">
        <f t="shared" si="13"/>
        <v>5020.9578999999994</v>
      </c>
      <c r="I129" s="72">
        <f>2737.62344</f>
        <v>2737.6234399999998</v>
      </c>
      <c r="J129" s="117"/>
    </row>
    <row r="130" spans="1:10" ht="15.75" customHeight="1" x14ac:dyDescent="0.35">
      <c r="A130" s="1"/>
      <c r="B130" s="281"/>
      <c r="C130" s="139" t="s">
        <v>33</v>
      </c>
      <c r="D130" s="140">
        <v>156</v>
      </c>
      <c r="E130" s="140">
        <v>156</v>
      </c>
      <c r="F130" s="136">
        <f>0.14985</f>
        <v>0.14985000000000001</v>
      </c>
      <c r="G130" s="136">
        <f>12.99898</f>
        <v>12.99898</v>
      </c>
      <c r="H130" s="136">
        <f t="shared" si="13"/>
        <v>143.00102000000001</v>
      </c>
      <c r="I130" s="136">
        <f>15.2427</f>
        <v>15.242699999999999</v>
      </c>
      <c r="J130" s="117"/>
    </row>
    <row r="131" spans="1:10" ht="15.75" customHeight="1" x14ac:dyDescent="0.35">
      <c r="A131" s="1"/>
      <c r="B131" s="281"/>
      <c r="C131" s="137" t="s">
        <v>64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3"/>
        <v>350</v>
      </c>
      <c r="I131" s="95">
        <f>292.56</f>
        <v>292.56</v>
      </c>
      <c r="J131" s="117"/>
    </row>
    <row r="132" spans="1:10" ht="18" customHeight="1" x14ac:dyDescent="0.35">
      <c r="A132" s="1"/>
      <c r="B132" s="281"/>
      <c r="C132" s="137" t="s">
        <v>65</v>
      </c>
      <c r="D132" s="140">
        <v>2000</v>
      </c>
      <c r="E132" s="140">
        <v>2000</v>
      </c>
      <c r="F132" s="136">
        <f>5.61286</f>
        <v>5.6128600000000004</v>
      </c>
      <c r="G132" s="136">
        <f>E132</f>
        <v>2000</v>
      </c>
      <c r="H132" s="136">
        <f t="shared" si="13"/>
        <v>0</v>
      </c>
      <c r="I132" s="136">
        <f>E132</f>
        <v>2000</v>
      </c>
      <c r="J132" s="271"/>
    </row>
    <row r="133" spans="1:10" ht="15.75" customHeight="1" x14ac:dyDescent="0.3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35">
      <c r="A134" s="1"/>
      <c r="B134" s="281"/>
      <c r="C134" s="139" t="s">
        <v>66</v>
      </c>
      <c r="D134" s="140">
        <v>255</v>
      </c>
      <c r="E134" s="140">
        <v>255</v>
      </c>
      <c r="F134" s="95">
        <f>0.1244</f>
        <v>0.1244</v>
      </c>
      <c r="G134" s="95">
        <f>4.73358</f>
        <v>4.7335799999999999</v>
      </c>
      <c r="H134" s="136">
        <f t="shared" si="13"/>
        <v>250.26642000000001</v>
      </c>
      <c r="I134" s="95">
        <f>81.06065</f>
        <v>81.060649999999995</v>
      </c>
      <c r="J134" s="117"/>
    </row>
    <row r="135" spans="1:10" ht="15" customHeight="1" x14ac:dyDescent="0.35">
      <c r="A135" s="1"/>
      <c r="B135" s="281"/>
      <c r="C135" s="139" t="s">
        <v>38</v>
      </c>
      <c r="D135" s="142"/>
      <c r="E135" s="140"/>
      <c r="F135" s="136">
        <f>0</f>
        <v>0</v>
      </c>
      <c r="G135" s="136">
        <f>64.41975</f>
        <v>64.419749999999993</v>
      </c>
      <c r="H135" s="136">
        <f t="shared" si="13"/>
        <v>-64.419749999999993</v>
      </c>
      <c r="I135" s="136">
        <f>74.77426</f>
        <v>74.774259999999998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150770</v>
      </c>
      <c r="F137" s="73">
        <f>F115+F119+F120+F130+F131+F132+F133+F134+F135</f>
        <v>1513.24098</v>
      </c>
      <c r="G137" s="73">
        <f>G115+G119+G120+G130+G131+G132+G133+G134+G135</f>
        <v>42695.875340000006</v>
      </c>
      <c r="H137" s="73">
        <f>H115+H119+H120+H130+H131+H132+H133+H134+H135</f>
        <v>108074.12465999999</v>
      </c>
      <c r="I137" s="73">
        <f>I115+I119+I120+I130+I131+I132+I133+I134+I135</f>
        <v>66008.339970000001</v>
      </c>
      <c r="J137" s="155"/>
    </row>
    <row r="138" spans="1:10" ht="14.25" customHeight="1" x14ac:dyDescent="0.3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157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3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3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3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35">
      <c r="A143" s="152"/>
      <c r="B143" s="50"/>
      <c r="C143" s="74" t="s">
        <v>147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5" customHeight="1" x14ac:dyDescent="0.3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5" customHeight="1" x14ac:dyDescent="0.3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5" customHeight="1" x14ac:dyDescent="0.3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5" customHeight="1" x14ac:dyDescent="0.3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5" customHeight="1" x14ac:dyDescent="0.3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3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3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5" customHeight="1" x14ac:dyDescent="0.35">
      <c r="A160" s="1"/>
      <c r="B160" s="281"/>
      <c r="C160" s="138" t="s">
        <v>70</v>
      </c>
      <c r="D160" s="91">
        <v>3754</v>
      </c>
      <c r="E160" s="301">
        <f>32.45436</f>
        <v>32.454360000000001</v>
      </c>
      <c r="F160" s="301">
        <f>535.325819999999</f>
        <v>535.325819999999</v>
      </c>
      <c r="G160" s="42">
        <f>D160-F160-F161</f>
        <v>2667.6257400000009</v>
      </c>
      <c r="H160" s="301">
        <f>392.72163</f>
        <v>392.72163</v>
      </c>
      <c r="I160" s="1"/>
      <c r="J160" s="117"/>
    </row>
    <row r="161" spans="1:10" ht="14.15" customHeight="1" x14ac:dyDescent="0.35">
      <c r="A161" s="1"/>
      <c r="B161" s="281"/>
      <c r="C161" s="133" t="s">
        <v>50</v>
      </c>
      <c r="D161" s="175"/>
      <c r="E161" s="148">
        <f>42.31128</f>
        <v>42.311279999999996</v>
      </c>
      <c r="F161" s="148">
        <f>551.04844</f>
        <v>551.04844000000003</v>
      </c>
      <c r="G161" s="219"/>
      <c r="H161" s="148">
        <f>587.99438</f>
        <v>587.99437999999998</v>
      </c>
      <c r="I161" s="1"/>
      <c r="J161" s="117"/>
    </row>
    <row r="162" spans="1:10" ht="15.65" customHeight="1" x14ac:dyDescent="0.3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39.71186</f>
        <v>39.711860000000001</v>
      </c>
      <c r="G162" s="166">
        <f>D162-F162</f>
        <v>160.28814</v>
      </c>
      <c r="H162" s="166">
        <f>50.83197</f>
        <v>50.831969999999998</v>
      </c>
      <c r="I162" s="1"/>
      <c r="J162" s="117"/>
    </row>
    <row r="163" spans="1:10" ht="14.15" customHeight="1" x14ac:dyDescent="0.35">
      <c r="A163" s="65"/>
      <c r="B163" s="75"/>
      <c r="C163" s="174" t="s">
        <v>72</v>
      </c>
      <c r="D163" s="175">
        <v>5630</v>
      </c>
      <c r="E163" s="175">
        <f>E164+E165+E166</f>
        <v>8.5754000000000001</v>
      </c>
      <c r="F163" s="175">
        <f>F164+F165+F166</f>
        <v>131.07050000000001</v>
      </c>
      <c r="G163" s="175">
        <f>D163-F163</f>
        <v>5498.9295000000002</v>
      </c>
      <c r="H163" s="175">
        <f>H164+H165+H166</f>
        <v>137.47631999999999</v>
      </c>
      <c r="I163" s="65"/>
      <c r="J163" s="111"/>
    </row>
    <row r="164" spans="1:10" ht="14.15" customHeight="1" x14ac:dyDescent="0.35">
      <c r="A164" s="192"/>
      <c r="B164" s="176"/>
      <c r="C164" s="177" t="s">
        <v>73</v>
      </c>
      <c r="D164" s="123"/>
      <c r="E164" s="123">
        <f>3.234</f>
        <v>3.234</v>
      </c>
      <c r="F164" s="123">
        <f>48.77128</f>
        <v>48.771279999999997</v>
      </c>
      <c r="G164" s="123"/>
      <c r="H164" s="123">
        <f>40.46078</f>
        <v>40.46078</v>
      </c>
      <c r="I164" s="181"/>
      <c r="J164" s="126"/>
    </row>
    <row r="165" spans="1:10" ht="14.15" customHeight="1" x14ac:dyDescent="0.35">
      <c r="A165" s="192"/>
      <c r="B165" s="176"/>
      <c r="C165" s="177" t="s">
        <v>74</v>
      </c>
      <c r="D165" s="123"/>
      <c r="E165" s="123">
        <f>3.1784</f>
        <v>3.1783999999999999</v>
      </c>
      <c r="F165" s="123">
        <f>54.8669</f>
        <v>54.866900000000001</v>
      </c>
      <c r="G165" s="123"/>
      <c r="H165" s="123">
        <f>50.75872</f>
        <v>50.758719999999997</v>
      </c>
      <c r="I165" s="181"/>
      <c r="J165" s="182"/>
    </row>
    <row r="166" spans="1:10" ht="14.15" customHeight="1" x14ac:dyDescent="0.35">
      <c r="A166" s="192"/>
      <c r="B166" s="176"/>
      <c r="C166" s="183" t="s">
        <v>75</v>
      </c>
      <c r="D166" s="186"/>
      <c r="E166" s="186">
        <f>2.163</f>
        <v>2.1629999999999998</v>
      </c>
      <c r="F166" s="186">
        <f>27.43232</f>
        <v>27.432320000000001</v>
      </c>
      <c r="G166" s="186"/>
      <c r="H166" s="186">
        <f>46.25682</f>
        <v>46.256819999999998</v>
      </c>
      <c r="I166" s="181"/>
      <c r="J166" s="182"/>
    </row>
    <row r="167" spans="1:10" ht="14.15" customHeight="1" x14ac:dyDescent="0.35">
      <c r="A167" s="1"/>
      <c r="B167" s="281"/>
      <c r="C167" s="70" t="s">
        <v>76</v>
      </c>
      <c r="D167" s="136">
        <v>91</v>
      </c>
      <c r="E167" s="136">
        <f>0.01</f>
        <v>0.01</v>
      </c>
      <c r="F167" s="136">
        <f>0.48596</f>
        <v>0.48596</v>
      </c>
      <c r="G167" s="136">
        <f>D167-F167</f>
        <v>90.514039999999994</v>
      </c>
      <c r="H167" s="136">
        <f>0</f>
        <v>0</v>
      </c>
      <c r="I167" s="173"/>
      <c r="J167" s="271"/>
    </row>
    <row r="168" spans="1:10" ht="16.5" customHeight="1" x14ac:dyDescent="0.3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83.351039999999998</v>
      </c>
      <c r="F169" s="188">
        <f>F160+F161+F162+F163+F167+F168</f>
        <v>1257.642579999999</v>
      </c>
      <c r="G169" s="188">
        <f>D169-F169</f>
        <v>8417.3574200000003</v>
      </c>
      <c r="H169" s="188">
        <f>H160+H161+H162+H163+H167+H168</f>
        <v>1169.0243</v>
      </c>
      <c r="I169" s="159"/>
      <c r="J169" s="155"/>
    </row>
    <row r="170" spans="1:10" ht="42" customHeight="1" x14ac:dyDescent="0.35">
      <c r="A170" s="1"/>
      <c r="B170" s="193"/>
      <c r="C170" s="254" t="s">
        <v>148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3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3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81"/>
      <c r="C182" s="101" t="s">
        <v>149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81"/>
      <c r="C183" s="101" t="s">
        <v>150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81"/>
      <c r="C184" s="101" t="s">
        <v>151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3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35">
      <c r="A189" s="1"/>
      <c r="B189" s="281"/>
      <c r="C189" s="90" t="s">
        <v>4</v>
      </c>
      <c r="D189" s="124">
        <v>45561</v>
      </c>
      <c r="E189" s="124">
        <v>42740</v>
      </c>
      <c r="F189" s="124">
        <f>47.1587</f>
        <v>47.158700000000003</v>
      </c>
      <c r="G189" s="124">
        <f>15251.95683</f>
        <v>15251.956829999999</v>
      </c>
      <c r="H189" s="124">
        <f>E189-G189</f>
        <v>27488.043170000001</v>
      </c>
      <c r="I189" s="124">
        <f>17512.9212</f>
        <v>17512.921200000001</v>
      </c>
      <c r="J189" s="117"/>
    </row>
    <row r="190" spans="1:10" ht="15" customHeight="1" x14ac:dyDescent="0.35">
      <c r="A190" s="1"/>
      <c r="B190" s="281"/>
      <c r="C190" s="90" t="s">
        <v>63</v>
      </c>
      <c r="D190" s="124">
        <v>100</v>
      </c>
      <c r="E190" s="124">
        <v>100</v>
      </c>
      <c r="F190" s="124">
        <f>0.029</f>
        <v>2.9000000000000001E-2</v>
      </c>
      <c r="G190" s="124">
        <f>5.00462</f>
        <v>5.0046200000000001</v>
      </c>
      <c r="H190" s="124">
        <f>E190-G190</f>
        <v>94.995379999999997</v>
      </c>
      <c r="I190" s="124">
        <f>11.23434</f>
        <v>11.23434</v>
      </c>
      <c r="J190" s="117"/>
    </row>
    <row r="191" spans="1:10" ht="15.75" customHeight="1" x14ac:dyDescent="0.35">
      <c r="A191" s="1"/>
      <c r="B191" s="281"/>
      <c r="C191" s="146" t="s">
        <v>76</v>
      </c>
      <c r="D191" s="168">
        <v>46</v>
      </c>
      <c r="E191" s="168">
        <v>46</v>
      </c>
      <c r="F191" s="136">
        <f>0</f>
        <v>0</v>
      </c>
      <c r="G191" s="136">
        <f>0</f>
        <v>0</v>
      </c>
      <c r="H191" s="136">
        <f>E191-G191</f>
        <v>46</v>
      </c>
      <c r="I191" s="136">
        <f>0</f>
        <v>0</v>
      </c>
      <c r="J191" s="117"/>
    </row>
    <row r="192" spans="1:10" ht="16.5" customHeight="1" x14ac:dyDescent="0.35">
      <c r="A192" s="1"/>
      <c r="B192" s="281"/>
      <c r="C192" s="179" t="s">
        <v>82</v>
      </c>
      <c r="D192" s="190">
        <f>SUM(D189:D191)</f>
        <v>45707</v>
      </c>
      <c r="E192" s="190">
        <f>SUM(E189:E191)</f>
        <v>42886</v>
      </c>
      <c r="F192" s="190">
        <f>SUM(F189:F191)</f>
        <v>47.187700000000007</v>
      </c>
      <c r="G192" s="190">
        <f>SUM(G189:G191)</f>
        <v>15256.961449999999</v>
      </c>
      <c r="H192" s="190">
        <f>E192-G192</f>
        <v>27629.038550000001</v>
      </c>
      <c r="I192" s="190">
        <f>SUM(I189:I191)</f>
        <v>17524.15554</v>
      </c>
      <c r="J192" s="117"/>
    </row>
    <row r="193" spans="1:10" ht="12" customHeight="1" x14ac:dyDescent="0.3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243" t="s">
        <v>152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3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35">
      <c r="A202" s="1"/>
      <c r="B202" s="281"/>
      <c r="C202" s="90" t="s">
        <v>112</v>
      </c>
      <c r="D202" s="124">
        <v>3202</v>
      </c>
      <c r="E202" s="72">
        <f>E203+E204</f>
        <v>20.470119999999998</v>
      </c>
      <c r="F202" s="72">
        <f>F203+F204</f>
        <v>2258.356139999999</v>
      </c>
      <c r="G202" s="72">
        <f>D202-F202</f>
        <v>943.64386000000104</v>
      </c>
      <c r="H202" s="72">
        <f>H203+H204</f>
        <v>1995.93174</v>
      </c>
      <c r="I202" s="275"/>
      <c r="J202" s="117"/>
    </row>
    <row r="203" spans="1:10" ht="15" customHeight="1" x14ac:dyDescent="0.35">
      <c r="A203" s="1"/>
      <c r="B203" s="281"/>
      <c r="C203" s="172" t="s">
        <v>8</v>
      </c>
      <c r="D203" s="124"/>
      <c r="E203" s="72">
        <f>4.6766</f>
        <v>4.6765999999999996</v>
      </c>
      <c r="F203" s="72">
        <f>1735.9537</f>
        <v>1735.9537</v>
      </c>
      <c r="G203" s="72"/>
      <c r="H203" s="72">
        <f>1495.75693</f>
        <v>1495.75693</v>
      </c>
      <c r="I203" s="275"/>
      <c r="J203" s="117"/>
    </row>
    <row r="204" spans="1:10" ht="15" customHeight="1" x14ac:dyDescent="0.35">
      <c r="A204" s="1"/>
      <c r="B204" s="281"/>
      <c r="C204" s="172" t="s">
        <v>63</v>
      </c>
      <c r="D204" s="124"/>
      <c r="E204" s="124">
        <f>15.79352</f>
        <v>15.793519999999999</v>
      </c>
      <c r="F204" s="124">
        <f>522.402439999999</f>
        <v>522.40243999999905</v>
      </c>
      <c r="G204" s="168"/>
      <c r="H204" s="124">
        <f>500.17481</f>
        <v>500.17480999999998</v>
      </c>
      <c r="I204" s="275"/>
      <c r="J204" s="117"/>
    </row>
    <row r="205" spans="1:10" ht="15" customHeight="1" x14ac:dyDescent="0.35">
      <c r="A205" s="1"/>
      <c r="B205" s="281"/>
      <c r="C205" s="90" t="s">
        <v>113</v>
      </c>
      <c r="D205" s="124">
        <v>3704</v>
      </c>
      <c r="E205" s="72">
        <f>106.70856</f>
        <v>106.70856000000001</v>
      </c>
      <c r="F205" s="72">
        <f>2170.17114</f>
        <v>2170.1711399999999</v>
      </c>
      <c r="G205" s="72">
        <f>D205-F205</f>
        <v>1533.8288600000001</v>
      </c>
      <c r="H205" s="72">
        <f>2767.21795</f>
        <v>2767.2179500000002</v>
      </c>
      <c r="I205" s="275"/>
      <c r="J205" s="117"/>
    </row>
    <row r="206" spans="1:10" ht="16.5" customHeight="1" x14ac:dyDescent="0.35">
      <c r="A206" s="1"/>
      <c r="B206" s="281"/>
      <c r="C206" s="179" t="s">
        <v>82</v>
      </c>
      <c r="D206" s="190">
        <f>D205+D202</f>
        <v>6906</v>
      </c>
      <c r="E206" s="190">
        <f>SUM(E202,E205)</f>
        <v>127.17868</v>
      </c>
      <c r="F206" s="190">
        <f>SUM(F202,F205)</f>
        <v>4428.5272799999984</v>
      </c>
      <c r="G206" s="190">
        <f>D206-F206</f>
        <v>2477.4727200000016</v>
      </c>
      <c r="H206" s="190">
        <f>SUM(H202,H205)</f>
        <v>4763.1496900000002</v>
      </c>
      <c r="I206" s="275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3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35">
      <c r="A215" s="1"/>
      <c r="B215" s="281"/>
      <c r="C215" s="90" t="s">
        <v>112</v>
      </c>
      <c r="D215" s="124">
        <v>5516</v>
      </c>
      <c r="E215" s="72">
        <f>E216+E217</f>
        <v>45.033739999999995</v>
      </c>
      <c r="F215" s="72">
        <f>F216+F217</f>
        <v>3071.376369999999</v>
      </c>
      <c r="G215" s="72">
        <f>D215-F215</f>
        <v>2444.623630000001</v>
      </c>
      <c r="H215" s="72">
        <f>H216+H217</f>
        <v>1993.82736</v>
      </c>
      <c r="I215" s="275"/>
      <c r="J215" s="117"/>
    </row>
    <row r="216" spans="1:10" ht="15" customHeight="1" x14ac:dyDescent="0.35">
      <c r="A216" s="1"/>
      <c r="B216" s="281"/>
      <c r="C216" s="172" t="s">
        <v>8</v>
      </c>
      <c r="D216" s="124"/>
      <c r="E216" s="72">
        <f>35.657</f>
        <v>35.656999999999996</v>
      </c>
      <c r="F216" s="72">
        <f>2741.61812</f>
        <v>2741.6181200000001</v>
      </c>
      <c r="G216" s="72"/>
      <c r="H216" s="72">
        <f>1722.30316</f>
        <v>1722.3031599999999</v>
      </c>
      <c r="I216" s="275"/>
      <c r="J216" s="117"/>
    </row>
    <row r="217" spans="1:10" ht="15" customHeight="1" x14ac:dyDescent="0.35">
      <c r="A217" s="1"/>
      <c r="B217" s="281"/>
      <c r="C217" s="172" t="s">
        <v>63</v>
      </c>
      <c r="D217" s="124"/>
      <c r="E217" s="124">
        <f>9.37674</f>
        <v>9.3767399999999999</v>
      </c>
      <c r="F217" s="124">
        <f>329.758249999999</f>
        <v>329.75824999999901</v>
      </c>
      <c r="G217" s="168"/>
      <c r="H217" s="124">
        <f>271.5242</f>
        <v>271.52420000000001</v>
      </c>
      <c r="I217" s="275"/>
      <c r="J217" s="117"/>
    </row>
    <row r="218" spans="1:10" ht="15" customHeight="1" x14ac:dyDescent="0.35">
      <c r="A218" s="1"/>
      <c r="B218" s="281"/>
      <c r="C218" s="90" t="s">
        <v>113</v>
      </c>
      <c r="D218" s="124">
        <v>3232</v>
      </c>
      <c r="E218" s="72">
        <f>63.4218</f>
        <v>63.421799999999998</v>
      </c>
      <c r="F218" s="72">
        <f>1716.57341</f>
        <v>1716.57341</v>
      </c>
      <c r="G218" s="72">
        <f>D218-F218</f>
        <v>1515.42659</v>
      </c>
      <c r="H218" s="72">
        <f>1291.39271000001</f>
        <v>1291.3927100000101</v>
      </c>
      <c r="I218" s="275"/>
      <c r="J218" s="117"/>
    </row>
    <row r="219" spans="1:10" ht="16.5" customHeight="1" x14ac:dyDescent="0.35">
      <c r="A219" s="1"/>
      <c r="B219" s="281"/>
      <c r="C219" s="179" t="s">
        <v>82</v>
      </c>
      <c r="D219" s="190">
        <f>D218+D215</f>
        <v>8748</v>
      </c>
      <c r="E219" s="190">
        <f>SUM(E215,E218)</f>
        <v>108.45553999999998</v>
      </c>
      <c r="F219" s="190">
        <f>SUM(F215,F218)</f>
        <v>4787.949779999999</v>
      </c>
      <c r="G219" s="190">
        <f>D219-F219</f>
        <v>3960.050220000001</v>
      </c>
      <c r="H219" s="190">
        <f>SUM(H215,H218)</f>
        <v>3285.2200700000103</v>
      </c>
      <c r="I219" s="275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75" customHeight="1" x14ac:dyDescent="0.3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5" customHeight="1" x14ac:dyDescent="0.3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5" customHeight="1" x14ac:dyDescent="0.3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3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3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5" customHeight="1" x14ac:dyDescent="0.3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3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35">
      <c r="A237" s="65"/>
      <c r="B237" s="75"/>
      <c r="C237" s="90" t="s">
        <v>88</v>
      </c>
      <c r="D237" s="124">
        <v>800</v>
      </c>
      <c r="E237" s="124">
        <f>5.7879</f>
        <v>5.7878999999999996</v>
      </c>
      <c r="F237" s="124">
        <f>70.5135100000001</f>
        <v>70.513510000000096</v>
      </c>
      <c r="G237" s="124">
        <f>D237-F237</f>
        <v>729.48648999999989</v>
      </c>
      <c r="H237" s="124">
        <f>175.79165</f>
        <v>175.79165</v>
      </c>
      <c r="I237" s="65"/>
      <c r="J237" s="271"/>
    </row>
    <row r="238" spans="1:10" ht="14.15" customHeight="1" x14ac:dyDescent="0.35">
      <c r="A238" s="1"/>
      <c r="B238" s="281"/>
      <c r="C238" s="90" t="s">
        <v>89</v>
      </c>
      <c r="D238" s="273">
        <v>706</v>
      </c>
      <c r="E238" s="124">
        <f>5.34432</f>
        <v>5.3443199999999997</v>
      </c>
      <c r="F238" s="124">
        <f>190.268829999999</f>
        <v>190.26882999999901</v>
      </c>
      <c r="G238" s="124">
        <f>D238-F238</f>
        <v>515.73117000000093</v>
      </c>
      <c r="H238" s="124">
        <f>321.895359999999</f>
        <v>321.89535999999902</v>
      </c>
      <c r="I238" s="173"/>
      <c r="J238" s="111"/>
    </row>
    <row r="239" spans="1:10" ht="16.5" customHeight="1" x14ac:dyDescent="0.3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0.045</f>
        <v>4.4999999999999998E-2</v>
      </c>
      <c r="G239" s="124">
        <f>D239-F239</f>
        <v>9.9550000000000001</v>
      </c>
      <c r="H239" s="168">
        <f>0.05414</f>
        <v>5.4140000000000001E-2</v>
      </c>
      <c r="I239" s="65"/>
      <c r="J239" s="276"/>
    </row>
    <row r="240" spans="1:10" ht="18.75" customHeight="1" x14ac:dyDescent="0.35">
      <c r="A240" s="65"/>
      <c r="B240" s="277"/>
      <c r="C240" s="146" t="s">
        <v>90</v>
      </c>
      <c r="D240" s="249"/>
      <c r="E240" s="168">
        <f>0.00708</f>
        <v>7.0800000000000004E-3</v>
      </c>
      <c r="F240" s="168">
        <f>0.13204</f>
        <v>0.13203999999999999</v>
      </c>
      <c r="G240" s="124">
        <f>D240-F240</f>
        <v>-0.13203999999999999</v>
      </c>
      <c r="H240" s="168">
        <f>0.6194</f>
        <v>0.61939999999999995</v>
      </c>
      <c r="I240" s="309"/>
      <c r="J240" s="117"/>
    </row>
    <row r="241" spans="1:10" ht="14.15" customHeight="1" x14ac:dyDescent="0.35">
      <c r="A241" s="1"/>
      <c r="B241" s="281"/>
      <c r="C241" s="179" t="s">
        <v>82</v>
      </c>
      <c r="D241" s="5">
        <f>D226</f>
        <v>1516</v>
      </c>
      <c r="E241" s="190">
        <f>SUM(E237:E240)</f>
        <v>11.1393</v>
      </c>
      <c r="F241" s="190">
        <f>SUM(F237:F240)</f>
        <v>260.95937999999916</v>
      </c>
      <c r="G241" s="190">
        <f>D241-F241</f>
        <v>1255.0406200000009</v>
      </c>
      <c r="H241" s="190">
        <f>H237+H238+H239+H240</f>
        <v>498.36054999999902</v>
      </c>
      <c r="I241" s="1"/>
      <c r="J241" s="117"/>
    </row>
    <row r="242" spans="1:10" ht="14.15" customHeight="1" x14ac:dyDescent="0.3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108</v>
      </c>
    </row>
    <row r="245" spans="1:10" ht="14.15" customHeight="1" x14ac:dyDescent="0.35">
      <c r="A245" s="1" t="s">
        <v>108</v>
      </c>
    </row>
    <row r="246" spans="1:10" ht="30" customHeight="1" x14ac:dyDescent="0.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3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3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3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5" customHeight="1" x14ac:dyDescent="0.3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4" customHeight="1" x14ac:dyDescent="0.3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4" customHeight="1" x14ac:dyDescent="0.3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3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3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5" customHeight="1" x14ac:dyDescent="0.3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18840</v>
      </c>
      <c r="F262" s="280">
        <f t="shared" si="15"/>
        <v>63.2806</v>
      </c>
      <c r="G262" s="280">
        <f t="shared" si="15"/>
        <v>1375.8279100000002</v>
      </c>
      <c r="H262" s="280">
        <f>H266+H265+H264+H263</f>
        <v>17464.17209</v>
      </c>
      <c r="I262" s="280">
        <f t="shared" si="15"/>
        <v>2854.5764600000002</v>
      </c>
      <c r="J262" s="127"/>
    </row>
    <row r="263" spans="1:10" ht="14.15" customHeight="1" x14ac:dyDescent="0.35">
      <c r="A263" s="223"/>
      <c r="B263" s="69"/>
      <c r="C263" s="282" t="s">
        <v>98</v>
      </c>
      <c r="D263" s="283">
        <v>7457</v>
      </c>
      <c r="E263" s="283">
        <v>10175</v>
      </c>
      <c r="F263" s="284">
        <f>0</f>
        <v>0</v>
      </c>
      <c r="G263" s="284">
        <f>258.76306</f>
        <v>258.76306</v>
      </c>
      <c r="H263" s="284">
        <f t="shared" ref="H263:H268" si="16">E263-G263</f>
        <v>9916.2369400000007</v>
      </c>
      <c r="I263" s="284">
        <f>845.14931</f>
        <v>845.14931000000001</v>
      </c>
      <c r="J263" s="127"/>
    </row>
    <row r="264" spans="1:10" ht="14.15" customHeight="1" x14ac:dyDescent="0.35">
      <c r="A264" s="223"/>
      <c r="B264" s="69"/>
      <c r="C264" s="286" t="s">
        <v>21</v>
      </c>
      <c r="D264" s="283">
        <v>1941</v>
      </c>
      <c r="E264" s="283">
        <v>2649</v>
      </c>
      <c r="F264" s="284">
        <f>0</f>
        <v>0</v>
      </c>
      <c r="G264" s="284">
        <f>35.64</f>
        <v>35.64</v>
      </c>
      <c r="H264" s="284">
        <f t="shared" si="16"/>
        <v>2613.36</v>
      </c>
      <c r="I264" s="284">
        <f>390.3525</f>
        <v>390.35250000000002</v>
      </c>
      <c r="J264" s="127"/>
    </row>
    <row r="265" spans="1:10" ht="14.15" customHeight="1" x14ac:dyDescent="0.35">
      <c r="A265" s="223"/>
      <c r="B265" s="69"/>
      <c r="C265" s="286" t="s">
        <v>95</v>
      </c>
      <c r="D265" s="283">
        <v>1338</v>
      </c>
      <c r="E265" s="283">
        <v>1407</v>
      </c>
      <c r="F265" s="284">
        <f>19.6438</f>
        <v>19.643799999999999</v>
      </c>
      <c r="G265" s="284">
        <f>687.66069</f>
        <v>687.66069000000005</v>
      </c>
      <c r="H265" s="284">
        <f t="shared" si="16"/>
        <v>719.33930999999995</v>
      </c>
      <c r="I265" s="284">
        <f>815.12606</f>
        <v>815.12606000000005</v>
      </c>
      <c r="J265" s="127"/>
    </row>
    <row r="266" spans="1:10" ht="14.15" customHeight="1" x14ac:dyDescent="0.35">
      <c r="A266" s="223"/>
      <c r="B266" s="69"/>
      <c r="C266" s="288" t="s">
        <v>118</v>
      </c>
      <c r="D266" s="289">
        <v>4479</v>
      </c>
      <c r="E266" s="289">
        <v>4609</v>
      </c>
      <c r="F266" s="284">
        <f>43.6368</f>
        <v>43.636800000000001</v>
      </c>
      <c r="G266" s="284">
        <f>393.76416</f>
        <v>393.76416</v>
      </c>
      <c r="H266" s="284">
        <f t="shared" si="16"/>
        <v>4215.2358400000003</v>
      </c>
      <c r="I266" s="284">
        <f>803.94859</f>
        <v>803.94858999999997</v>
      </c>
      <c r="J266" s="127"/>
    </row>
    <row r="267" spans="1:10" ht="14.15" customHeight="1" x14ac:dyDescent="0.35">
      <c r="A267" s="223"/>
      <c r="B267" s="69"/>
      <c r="C267" s="291" t="s">
        <v>56</v>
      </c>
      <c r="D267" s="292">
        <v>5500</v>
      </c>
      <c r="E267" s="292">
        <v>5500</v>
      </c>
      <c r="F267" s="294">
        <f>2.15</f>
        <v>2.15</v>
      </c>
      <c r="G267" s="294">
        <f>782.97</f>
        <v>782.97</v>
      </c>
      <c r="H267" s="294">
        <f t="shared" si="16"/>
        <v>4717.03</v>
      </c>
      <c r="I267" s="294">
        <f>1983.66804</f>
        <v>1983.66804</v>
      </c>
      <c r="J267" s="127"/>
    </row>
    <row r="268" spans="1:10" ht="14.15" customHeight="1" x14ac:dyDescent="0.35">
      <c r="A268" s="223"/>
      <c r="B268" s="69"/>
      <c r="C268" s="274" t="s">
        <v>22</v>
      </c>
      <c r="D268" s="278">
        <v>8000</v>
      </c>
      <c r="E268" s="278">
        <v>8000</v>
      </c>
      <c r="F268" s="295">
        <f>F270+F269</f>
        <v>14.4345</v>
      </c>
      <c r="G268" s="295">
        <f>G270+G269</f>
        <v>923.69905000000108</v>
      </c>
      <c r="H268" s="295">
        <f t="shared" si="16"/>
        <v>7076.3009499999989</v>
      </c>
      <c r="I268" s="295">
        <f>I270+I269</f>
        <v>1132.3504000000009</v>
      </c>
      <c r="J268" s="127"/>
    </row>
    <row r="269" spans="1:10" ht="14.15" customHeight="1" x14ac:dyDescent="0.3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329.93919</f>
        <v>329.93919</v>
      </c>
      <c r="H269" s="284"/>
      <c r="I269" s="284">
        <f>447.82058</f>
        <v>447.82058000000001</v>
      </c>
      <c r="J269" s="127"/>
    </row>
    <row r="270" spans="1:10" ht="14.15" customHeight="1" x14ac:dyDescent="0.35">
      <c r="A270" s="223"/>
      <c r="B270" s="69"/>
      <c r="C270" s="299" t="s">
        <v>99</v>
      </c>
      <c r="D270" s="300"/>
      <c r="E270" s="302"/>
      <c r="F270" s="303">
        <f>14.4345</f>
        <v>14.4345</v>
      </c>
      <c r="G270" s="303">
        <f>593.759860000001</f>
        <v>593.75986000000103</v>
      </c>
      <c r="H270" s="303"/>
      <c r="I270" s="303">
        <f>684.529820000001</f>
        <v>684.529820000001</v>
      </c>
      <c r="J270" s="127"/>
    </row>
    <row r="271" spans="1:10" ht="14.15" customHeight="1" x14ac:dyDescent="0.35">
      <c r="A271" s="223"/>
      <c r="B271" s="69"/>
      <c r="C271" s="291" t="s">
        <v>33</v>
      </c>
      <c r="D271" s="292">
        <v>13</v>
      </c>
      <c r="E271" s="292">
        <v>13</v>
      </c>
      <c r="F271" s="294">
        <f>0</f>
        <v>0</v>
      </c>
      <c r="G271" s="294">
        <f>0</f>
        <v>0</v>
      </c>
      <c r="H271" s="294">
        <f>E271-G271</f>
        <v>13</v>
      </c>
      <c r="I271" s="294">
        <f>0.0135</f>
        <v>1.35E-2</v>
      </c>
      <c r="J271" s="127"/>
    </row>
    <row r="272" spans="1:10" ht="14.15" customHeight="1" x14ac:dyDescent="0.35">
      <c r="A272" s="223"/>
      <c r="B272" s="69"/>
      <c r="C272" s="304" t="s">
        <v>100</v>
      </c>
      <c r="D272" s="307"/>
      <c r="E272" s="308"/>
      <c r="F272" s="294">
        <f>1.6146</f>
        <v>1.6146</v>
      </c>
      <c r="G272" s="294">
        <f>5.17418</f>
        <v>5.1741799999999998</v>
      </c>
      <c r="H272" s="294">
        <f>E272-G272</f>
        <v>-5.1741799999999998</v>
      </c>
      <c r="I272" s="294">
        <f>4.05008</f>
        <v>4.0500800000000003</v>
      </c>
      <c r="J272" s="127"/>
    </row>
    <row r="273" spans="1:10" ht="19.5" customHeight="1" x14ac:dyDescent="0.3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32353</v>
      </c>
      <c r="F273" s="312">
        <f t="shared" ref="F273:I273" si="17">F262+F267+F268+F271+F272</f>
        <v>81.479699999999994</v>
      </c>
      <c r="G273" s="312">
        <f t="shared" si="17"/>
        <v>3087.6711400000013</v>
      </c>
      <c r="H273" s="312">
        <f>H262+H267+H268+H271+H272</f>
        <v>29265.328859999994</v>
      </c>
      <c r="I273" s="312">
        <f t="shared" si="17"/>
        <v>5974.6584800000019</v>
      </c>
      <c r="J273" s="127"/>
    </row>
    <row r="274" spans="1:10" ht="14.15" customHeight="1" x14ac:dyDescent="0.3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153</v>
      </c>
      <c r="D275" s="314"/>
      <c r="E275" s="314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154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108</v>
      </c>
      <c r="D279" s="152"/>
    </row>
    <row r="280" spans="1:10" ht="14.15" customHeight="1" x14ac:dyDescent="0.3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5" customHeight="1" x14ac:dyDescent="0.3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0" t="s">
        <v>116</v>
      </c>
      <c r="D288" s="320"/>
      <c r="E288" s="320"/>
      <c r="F288" s="320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3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5" customHeight="1" x14ac:dyDescent="0.3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928.6079299999999</v>
      </c>
      <c r="G294" s="82">
        <f>D294-F294</f>
        <v>-149.6079299999999</v>
      </c>
      <c r="H294" s="25">
        <f>SUM(H295:H296)</f>
        <v>1023.43038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687.69675</f>
        <v>687.69674999999995</v>
      </c>
      <c r="G295" s="199"/>
      <c r="H295" s="198">
        <f>779.14308</f>
        <v>779.14308000000005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244.2873</f>
        <v>244.28729999999999</v>
      </c>
      <c r="I296" s="145"/>
      <c r="J296" s="127"/>
    </row>
    <row r="297" spans="1:10" ht="14.15" customHeight="1" x14ac:dyDescent="0.35">
      <c r="A297" s="223"/>
      <c r="B297" s="69"/>
      <c r="C297" s="291" t="s">
        <v>106</v>
      </c>
      <c r="D297" s="9">
        <v>779</v>
      </c>
      <c r="E297" s="25">
        <f>SUM(E298:E299)</f>
        <v>0</v>
      </c>
      <c r="F297" s="25">
        <f>SUM(F298:F299)</f>
        <v>646.34609999999998</v>
      </c>
      <c r="G297" s="82">
        <f>D297-F297</f>
        <v>132.65390000000002</v>
      </c>
      <c r="H297" s="25">
        <f>SUM(H298:H299)</f>
        <v>991.08674999999994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507.218</f>
        <v>507.21800000000002</v>
      </c>
      <c r="G298" s="94"/>
      <c r="H298" s="29">
        <f>767.36623</f>
        <v>767.36622999999997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8"/>
      <c r="E299" s="29">
        <f>0</f>
        <v>0</v>
      </c>
      <c r="F299" s="29">
        <f>139.1281</f>
        <v>139.12809999999999</v>
      </c>
      <c r="G299" s="105"/>
      <c r="H299" s="29">
        <f>223.72052</f>
        <v>223.72051999999999</v>
      </c>
      <c r="I299" s="145"/>
      <c r="J299" s="127"/>
    </row>
    <row r="300" spans="1:10" ht="14.15" customHeight="1" x14ac:dyDescent="0.35">
      <c r="A300" s="223"/>
      <c r="B300" s="69"/>
      <c r="C300" s="291" t="s">
        <v>107</v>
      </c>
      <c r="D300" s="9">
        <v>780</v>
      </c>
      <c r="E300" s="34">
        <f>SUM(E301:E302)</f>
        <v>24.981200000000001</v>
      </c>
      <c r="F300" s="34">
        <f>SUM(F301:F302)</f>
        <v>394.94778999999994</v>
      </c>
      <c r="G300" s="82">
        <f>D300-F300</f>
        <v>385.05221000000006</v>
      </c>
      <c r="H300" s="34">
        <f>SUM(H301:H302)</f>
        <v>554.62036000000001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18.236</f>
        <v>18.236000000000001</v>
      </c>
      <c r="F301" s="29">
        <f>281.42864</f>
        <v>281.42863999999997</v>
      </c>
      <c r="G301" s="94"/>
      <c r="H301" s="29">
        <f>372.18004</f>
        <v>372.18004000000002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8"/>
      <c r="E302" s="29">
        <f>6.7452</f>
        <v>6.7451999999999996</v>
      </c>
      <c r="F302" s="29">
        <f>113.51915</f>
        <v>113.51915</v>
      </c>
      <c r="G302" s="105"/>
      <c r="H302" s="29">
        <f>182.44032</f>
        <v>182.44032000000001</v>
      </c>
      <c r="I302" s="145"/>
      <c r="J302" s="127"/>
    </row>
    <row r="303" spans="1:10" ht="14.15" customHeight="1" x14ac:dyDescent="0.3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24.981200000000001</v>
      </c>
      <c r="F304" s="39">
        <f>F294+F297+F300+F303</f>
        <v>1969.9018199999998</v>
      </c>
      <c r="G304" s="40">
        <f>D304-F304</f>
        <v>368.09818000000018</v>
      </c>
      <c r="H304" s="39">
        <f>H294+H297+H300+H303</f>
        <v>2569.1374900000001</v>
      </c>
      <c r="I304" s="26"/>
      <c r="J304" s="127"/>
    </row>
    <row r="305" spans="1:10" ht="42" customHeight="1" x14ac:dyDescent="0.35">
      <c r="A305" s="223"/>
      <c r="B305" s="230"/>
      <c r="C305" s="322" t="s">
        <v>111</v>
      </c>
      <c r="D305" s="322"/>
      <c r="E305" s="322"/>
      <c r="F305" s="322"/>
      <c r="G305" s="322"/>
      <c r="H305" s="322"/>
      <c r="I305" s="322"/>
      <c r="J305" s="323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108</v>
      </c>
      <c r="D307" s="152"/>
    </row>
    <row r="308" spans="1:10" ht="15.65" customHeight="1" x14ac:dyDescent="0.3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9" customHeight="1" x14ac:dyDescent="0.3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0" t="s">
        <v>155</v>
      </c>
      <c r="D316" s="320"/>
      <c r="E316" s="320"/>
      <c r="F316" s="320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3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75" customHeight="1" x14ac:dyDescent="0.35">
      <c r="A322" s="223"/>
      <c r="B322" s="69"/>
      <c r="C322" s="236" t="s">
        <v>133</v>
      </c>
      <c r="D322" s="237">
        <v>238</v>
      </c>
      <c r="E322" s="29">
        <f>4.09624</f>
        <v>4.0962399999999999</v>
      </c>
      <c r="F322" s="29">
        <f>134.14058</f>
        <v>134.14058</v>
      </c>
      <c r="G322" s="238">
        <f>D322-F322</f>
        <v>103.85942</v>
      </c>
      <c r="H322" s="29">
        <f>79.8451899999998</f>
        <v>79.845189999999803</v>
      </c>
      <c r="I322" s="242"/>
      <c r="J322" s="127"/>
    </row>
    <row r="323" spans="1:10" ht="17.5" customHeight="1" x14ac:dyDescent="0.35">
      <c r="A323" s="223"/>
      <c r="B323" s="69"/>
      <c r="C323" s="239" t="s">
        <v>134</v>
      </c>
      <c r="D323" s="240">
        <v>21237</v>
      </c>
      <c r="E323" s="29">
        <f>8.12253</f>
        <v>8.1225299999999994</v>
      </c>
      <c r="F323" s="29">
        <f>249.44204</f>
        <v>249.44203999999999</v>
      </c>
      <c r="G323" s="241">
        <f>D323-F323</f>
        <v>20987.557959999998</v>
      </c>
      <c r="H323" s="29">
        <f>247.451210000001</f>
        <v>247.451210000001</v>
      </c>
      <c r="I323" s="26"/>
      <c r="J323" s="127"/>
    </row>
    <row r="324" spans="1:10" ht="17.149999999999999" customHeight="1" x14ac:dyDescent="0.35">
      <c r="A324" s="223"/>
      <c r="B324" s="69"/>
      <c r="C324" s="310" t="s">
        <v>82</v>
      </c>
      <c r="D324" s="229">
        <f>D322+D323</f>
        <v>21475</v>
      </c>
      <c r="E324" s="39">
        <f>E323+E322</f>
        <v>12.218769999999999</v>
      </c>
      <c r="F324" s="39">
        <f>F323+F322</f>
        <v>383.58262000000002</v>
      </c>
      <c r="G324" s="39">
        <f>G323+G322</f>
        <v>21091.417379999999</v>
      </c>
      <c r="H324" s="39">
        <f>H323+H322</f>
        <v>327.2964000000008</v>
      </c>
      <c r="I324" s="26"/>
      <c r="J324" s="127"/>
    </row>
    <row r="325" spans="1:10" ht="22.5" customHeight="1" x14ac:dyDescent="0.35">
      <c r="A325" s="223"/>
      <c r="B325" s="69"/>
      <c r="C325" s="318" t="s">
        <v>156</v>
      </c>
      <c r="D325" s="318"/>
      <c r="E325" s="318"/>
      <c r="F325" s="318"/>
      <c r="G325" s="318"/>
      <c r="H325" s="318"/>
      <c r="I325" s="318"/>
      <c r="J325" s="319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108</v>
      </c>
      <c r="D328" s="152"/>
    </row>
    <row r="329" spans="1:10" ht="0" hidden="1" customHeight="1" x14ac:dyDescent="0.3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3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17" t="s">
        <v>128</v>
      </c>
      <c r="D337" s="317"/>
      <c r="E337" s="317"/>
      <c r="F337" s="317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3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3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18" t="s">
        <v>135</v>
      </c>
      <c r="D346" s="318"/>
      <c r="E346" s="318"/>
      <c r="F346" s="318"/>
      <c r="G346" s="318"/>
      <c r="H346" s="318"/>
      <c r="I346" s="318"/>
      <c r="J346" s="319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19&amp;R11.05.2026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2026-05-11T09:12:13Z</dcterms:modified>
</cp:coreProperties>
</file>