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E37C02E3-6C88-4DD1-91C0-F8560D4D89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1" l="1"/>
  <c r="G124" i="1"/>
  <c r="G121" i="1" s="1"/>
  <c r="G120" i="1" s="1"/>
  <c r="G119" i="1"/>
  <c r="H119" i="1" s="1"/>
  <c r="H345" i="1"/>
  <c r="F345" i="1"/>
  <c r="E345" i="1"/>
  <c r="D345" i="1"/>
  <c r="G344" i="1"/>
  <c r="G345" i="1" s="1"/>
  <c r="G343" i="1"/>
  <c r="E336" i="1"/>
  <c r="D324" i="1"/>
  <c r="H323" i="1"/>
  <c r="H324" i="1" s="1"/>
  <c r="F323" i="1"/>
  <c r="F324" i="1" s="1"/>
  <c r="E323" i="1"/>
  <c r="E324" i="1" s="1"/>
  <c r="H322" i="1"/>
  <c r="F322" i="1"/>
  <c r="G322" i="1" s="1"/>
  <c r="E322" i="1"/>
  <c r="E315" i="1"/>
  <c r="D315" i="1"/>
  <c r="D304" i="1"/>
  <c r="H303" i="1"/>
  <c r="F303" i="1"/>
  <c r="G303" i="1" s="1"/>
  <c r="E303" i="1"/>
  <c r="H302" i="1"/>
  <c r="F302" i="1"/>
  <c r="E302" i="1"/>
  <c r="H301" i="1"/>
  <c r="H300" i="1" s="1"/>
  <c r="F301" i="1"/>
  <c r="E301" i="1"/>
  <c r="E300" i="1" s="1"/>
  <c r="F300" i="1"/>
  <c r="G300" i="1" s="1"/>
  <c r="H299" i="1"/>
  <c r="F299" i="1"/>
  <c r="E299" i="1"/>
  <c r="H298" i="1"/>
  <c r="F298" i="1"/>
  <c r="E298" i="1"/>
  <c r="H297" i="1"/>
  <c r="F297" i="1"/>
  <c r="G297" i="1" s="1"/>
  <c r="E297" i="1"/>
  <c r="H296" i="1"/>
  <c r="F296" i="1"/>
  <c r="E296" i="1"/>
  <c r="H295" i="1"/>
  <c r="F295" i="1"/>
  <c r="F294" i="1" s="1"/>
  <c r="E295" i="1"/>
  <c r="H294" i="1"/>
  <c r="E294" i="1"/>
  <c r="E304" i="1" s="1"/>
  <c r="E273" i="1"/>
  <c r="D273" i="1"/>
  <c r="I272" i="1"/>
  <c r="H272" i="1"/>
  <c r="G272" i="1"/>
  <c r="F272" i="1"/>
  <c r="I271" i="1"/>
  <c r="G271" i="1"/>
  <c r="H271" i="1" s="1"/>
  <c r="F271" i="1"/>
  <c r="I270" i="1"/>
  <c r="G270" i="1"/>
  <c r="G268" i="1" s="1"/>
  <c r="H268" i="1" s="1"/>
  <c r="F270" i="1"/>
  <c r="I269" i="1"/>
  <c r="G269" i="1"/>
  <c r="F269" i="1"/>
  <c r="I268" i="1"/>
  <c r="F268" i="1"/>
  <c r="I267" i="1"/>
  <c r="G267" i="1"/>
  <c r="H267" i="1" s="1"/>
  <c r="F267" i="1"/>
  <c r="I266" i="1"/>
  <c r="H266" i="1"/>
  <c r="G266" i="1"/>
  <c r="F266" i="1"/>
  <c r="I265" i="1"/>
  <c r="G265" i="1"/>
  <c r="G262" i="1" s="1"/>
  <c r="F265" i="1"/>
  <c r="I264" i="1"/>
  <c r="H264" i="1"/>
  <c r="G264" i="1"/>
  <c r="F264" i="1"/>
  <c r="I263" i="1"/>
  <c r="G263" i="1"/>
  <c r="H263" i="1" s="1"/>
  <c r="F263" i="1"/>
  <c r="I262" i="1"/>
  <c r="I273" i="1" s="1"/>
  <c r="F262" i="1"/>
  <c r="F273" i="1" s="1"/>
  <c r="E262" i="1"/>
  <c r="D262" i="1"/>
  <c r="H254" i="1"/>
  <c r="F254" i="1"/>
  <c r="H241" i="1"/>
  <c r="D241" i="1"/>
  <c r="H240" i="1"/>
  <c r="G240" i="1"/>
  <c r="F240" i="1"/>
  <c r="E240" i="1"/>
  <c r="H239" i="1"/>
  <c r="F239" i="1"/>
  <c r="G239" i="1" s="1"/>
  <c r="E239" i="1"/>
  <c r="H238" i="1"/>
  <c r="G238" i="1"/>
  <c r="F238" i="1"/>
  <c r="E238" i="1"/>
  <c r="E241" i="1" s="1"/>
  <c r="H237" i="1"/>
  <c r="F237" i="1"/>
  <c r="F241" i="1" s="1"/>
  <c r="G241" i="1" s="1"/>
  <c r="E237" i="1"/>
  <c r="D219" i="1"/>
  <c r="H218" i="1"/>
  <c r="G218" i="1"/>
  <c r="F218" i="1"/>
  <c r="E218" i="1"/>
  <c r="H217" i="1"/>
  <c r="F217" i="1"/>
  <c r="E217" i="1"/>
  <c r="H216" i="1"/>
  <c r="H215" i="1" s="1"/>
  <c r="H219" i="1" s="1"/>
  <c r="F216" i="1"/>
  <c r="E216" i="1"/>
  <c r="E215" i="1" s="1"/>
  <c r="E219" i="1" s="1"/>
  <c r="F215" i="1"/>
  <c r="F219" i="1" s="1"/>
  <c r="G219" i="1" s="1"/>
  <c r="D206" i="1"/>
  <c r="H205" i="1"/>
  <c r="G205" i="1"/>
  <c r="F205" i="1"/>
  <c r="E205" i="1"/>
  <c r="H204" i="1"/>
  <c r="H202" i="1" s="1"/>
  <c r="H206" i="1" s="1"/>
  <c r="F204" i="1"/>
  <c r="E204" i="1"/>
  <c r="H203" i="1"/>
  <c r="F203" i="1"/>
  <c r="E203" i="1"/>
  <c r="E202" i="1" s="1"/>
  <c r="E206" i="1" s="1"/>
  <c r="G202" i="1"/>
  <c r="F202" i="1"/>
  <c r="F206" i="1" s="1"/>
  <c r="G206" i="1" s="1"/>
  <c r="I192" i="1"/>
  <c r="E192" i="1"/>
  <c r="D192" i="1"/>
  <c r="I191" i="1"/>
  <c r="G191" i="1"/>
  <c r="H191" i="1" s="1"/>
  <c r="F191" i="1"/>
  <c r="I190" i="1"/>
  <c r="H190" i="1"/>
  <c r="G190" i="1"/>
  <c r="F190" i="1"/>
  <c r="F192" i="1" s="1"/>
  <c r="I189" i="1"/>
  <c r="G189" i="1"/>
  <c r="H189" i="1" s="1"/>
  <c r="F189" i="1"/>
  <c r="E169" i="1"/>
  <c r="D169" i="1"/>
  <c r="H168" i="1"/>
  <c r="G168" i="1"/>
  <c r="F168" i="1"/>
  <c r="E168" i="1"/>
  <c r="H167" i="1"/>
  <c r="F167" i="1"/>
  <c r="G167" i="1" s="1"/>
  <c r="E167" i="1"/>
  <c r="H166" i="1"/>
  <c r="F166" i="1"/>
  <c r="E166" i="1"/>
  <c r="H165" i="1"/>
  <c r="F165" i="1"/>
  <c r="E165" i="1"/>
  <c r="H164" i="1"/>
  <c r="F164" i="1"/>
  <c r="F163" i="1" s="1"/>
  <c r="G163" i="1" s="1"/>
  <c r="E164" i="1"/>
  <c r="H163" i="1"/>
  <c r="E163" i="1"/>
  <c r="H162" i="1"/>
  <c r="G162" i="1"/>
  <c r="F162" i="1"/>
  <c r="E162" i="1"/>
  <c r="H161" i="1"/>
  <c r="F161" i="1"/>
  <c r="E161" i="1"/>
  <c r="H160" i="1"/>
  <c r="H169" i="1" s="1"/>
  <c r="F160" i="1"/>
  <c r="F169" i="1" s="1"/>
  <c r="G169" i="1" s="1"/>
  <c r="E160" i="1"/>
  <c r="I135" i="1"/>
  <c r="H135" i="1"/>
  <c r="G135" i="1"/>
  <c r="F135" i="1"/>
  <c r="I134" i="1"/>
  <c r="G134" i="1"/>
  <c r="H134" i="1" s="1"/>
  <c r="F134" i="1"/>
  <c r="H133" i="1"/>
  <c r="I132" i="1"/>
  <c r="G132" i="1"/>
  <c r="H132" i="1" s="1"/>
  <c r="F132" i="1"/>
  <c r="I131" i="1"/>
  <c r="H131" i="1"/>
  <c r="G131" i="1"/>
  <c r="F131" i="1"/>
  <c r="I130" i="1"/>
  <c r="G130" i="1"/>
  <c r="H130" i="1" s="1"/>
  <c r="F130" i="1"/>
  <c r="I129" i="1"/>
  <c r="H129" i="1"/>
  <c r="G129" i="1"/>
  <c r="F129" i="1"/>
  <c r="I128" i="1"/>
  <c r="G128" i="1"/>
  <c r="H128" i="1" s="1"/>
  <c r="F128" i="1"/>
  <c r="I127" i="1"/>
  <c r="H127" i="1"/>
  <c r="G127" i="1"/>
  <c r="F127" i="1"/>
  <c r="F126" i="1" s="1"/>
  <c r="I126" i="1"/>
  <c r="G126" i="1"/>
  <c r="E126" i="1"/>
  <c r="D126" i="1"/>
  <c r="D120" i="1" s="1"/>
  <c r="I125" i="1"/>
  <c r="H125" i="1"/>
  <c r="F125" i="1"/>
  <c r="I124" i="1"/>
  <c r="H124" i="1"/>
  <c r="F124" i="1"/>
  <c r="I123" i="1"/>
  <c r="H123" i="1"/>
  <c r="G123" i="1"/>
  <c r="F123" i="1"/>
  <c r="I122" i="1"/>
  <c r="I121" i="1" s="1"/>
  <c r="I120" i="1" s="1"/>
  <c r="G122" i="1"/>
  <c r="H122" i="1" s="1"/>
  <c r="F122" i="1"/>
  <c r="F121" i="1" s="1"/>
  <c r="F120" i="1" s="1"/>
  <c r="E121" i="1"/>
  <c r="E120" i="1" s="1"/>
  <c r="E137" i="1" s="1"/>
  <c r="D121" i="1"/>
  <c r="I119" i="1"/>
  <c r="F119" i="1"/>
  <c r="I118" i="1"/>
  <c r="H118" i="1"/>
  <c r="G118" i="1"/>
  <c r="F118" i="1"/>
  <c r="I117" i="1"/>
  <c r="G117" i="1"/>
  <c r="H117" i="1" s="1"/>
  <c r="F117" i="1"/>
  <c r="I116" i="1"/>
  <c r="H116" i="1"/>
  <c r="H115" i="1" s="1"/>
  <c r="G116" i="1"/>
  <c r="G115" i="1" s="1"/>
  <c r="F116" i="1"/>
  <c r="I115" i="1"/>
  <c r="F115" i="1"/>
  <c r="E115" i="1"/>
  <c r="D115" i="1"/>
  <c r="D137" i="1" s="1"/>
  <c r="C113" i="1"/>
  <c r="I93" i="1"/>
  <c r="H93" i="1"/>
  <c r="G93" i="1"/>
  <c r="F93" i="1"/>
  <c r="I92" i="1"/>
  <c r="G92" i="1"/>
  <c r="H92" i="1" s="1"/>
  <c r="F92" i="1"/>
  <c r="I91" i="1"/>
  <c r="H91" i="1"/>
  <c r="G91" i="1"/>
  <c r="F91" i="1"/>
  <c r="I90" i="1"/>
  <c r="G90" i="1"/>
  <c r="H90" i="1" s="1"/>
  <c r="F90" i="1"/>
  <c r="I89" i="1"/>
  <c r="H89" i="1"/>
  <c r="G89" i="1"/>
  <c r="F89" i="1"/>
  <c r="I88" i="1"/>
  <c r="G88" i="1"/>
  <c r="H88" i="1" s="1"/>
  <c r="F88" i="1"/>
  <c r="I87" i="1"/>
  <c r="H87" i="1"/>
  <c r="G87" i="1"/>
  <c r="F87" i="1"/>
  <c r="I86" i="1"/>
  <c r="G86" i="1"/>
  <c r="H86" i="1" s="1"/>
  <c r="F86" i="1"/>
  <c r="I85" i="1"/>
  <c r="H85" i="1"/>
  <c r="G85" i="1"/>
  <c r="F85" i="1"/>
  <c r="I84" i="1"/>
  <c r="G84" i="1"/>
  <c r="G83" i="1" s="1"/>
  <c r="G82" i="1" s="1"/>
  <c r="F84" i="1"/>
  <c r="I83" i="1"/>
  <c r="I82" i="1" s="1"/>
  <c r="F83" i="1"/>
  <c r="F82" i="1" s="1"/>
  <c r="E83" i="1"/>
  <c r="D83" i="1"/>
  <c r="E82" i="1"/>
  <c r="D82" i="1"/>
  <c r="I81" i="1"/>
  <c r="G81" i="1"/>
  <c r="H81" i="1" s="1"/>
  <c r="H79" i="1" s="1"/>
  <c r="F81" i="1"/>
  <c r="I80" i="1"/>
  <c r="I79" i="1" s="1"/>
  <c r="H80" i="1"/>
  <c r="G80" i="1"/>
  <c r="F80" i="1"/>
  <c r="F79" i="1" s="1"/>
  <c r="F94" i="1" s="1"/>
  <c r="E79" i="1"/>
  <c r="E94" i="1" s="1"/>
  <c r="D79" i="1"/>
  <c r="D94" i="1" s="1"/>
  <c r="C76" i="1"/>
  <c r="H72" i="1"/>
  <c r="F72" i="1"/>
  <c r="D72" i="1"/>
  <c r="H58" i="1"/>
  <c r="H57" i="1"/>
  <c r="I52" i="1"/>
  <c r="I31" i="1" s="1"/>
  <c r="H52" i="1"/>
  <c r="G52" i="1"/>
  <c r="F52" i="1"/>
  <c r="F31" i="1" s="1"/>
  <c r="I41" i="1"/>
  <c r="H41" i="1"/>
  <c r="G41" i="1"/>
  <c r="F41" i="1"/>
  <c r="I40" i="1"/>
  <c r="G40" i="1"/>
  <c r="H40" i="1" s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H35" i="1"/>
  <c r="G35" i="1"/>
  <c r="F35" i="1"/>
  <c r="I34" i="1"/>
  <c r="I33" i="1" s="1"/>
  <c r="G34" i="1"/>
  <c r="H34" i="1" s="1"/>
  <c r="F34" i="1"/>
  <c r="F33" i="1" s="1"/>
  <c r="E33" i="1"/>
  <c r="D33" i="1"/>
  <c r="I32" i="1"/>
  <c r="H32" i="1"/>
  <c r="G32" i="1"/>
  <c r="F32" i="1"/>
  <c r="G31" i="1"/>
  <c r="H31" i="1" s="1"/>
  <c r="I30" i="1"/>
  <c r="H30" i="1"/>
  <c r="G30" i="1"/>
  <c r="F30" i="1"/>
  <c r="I29" i="1"/>
  <c r="G29" i="1"/>
  <c r="H29" i="1" s="1"/>
  <c r="F29" i="1"/>
  <c r="I28" i="1"/>
  <c r="H28" i="1"/>
  <c r="G28" i="1"/>
  <c r="F28" i="1"/>
  <c r="F26" i="1" s="1"/>
  <c r="I27" i="1"/>
  <c r="G27" i="1"/>
  <c r="G26" i="1" s="1"/>
  <c r="F27" i="1"/>
  <c r="E26" i="1"/>
  <c r="E25" i="1" s="1"/>
  <c r="D26" i="1"/>
  <c r="D25" i="1"/>
  <c r="I24" i="1"/>
  <c r="G24" i="1"/>
  <c r="H24" i="1" s="1"/>
  <c r="H22" i="1" s="1"/>
  <c r="F24" i="1"/>
  <c r="I23" i="1"/>
  <c r="I22" i="1" s="1"/>
  <c r="H23" i="1"/>
  <c r="G23" i="1"/>
  <c r="F23" i="1"/>
  <c r="F22" i="1" s="1"/>
  <c r="G22" i="1"/>
  <c r="E22" i="1"/>
  <c r="E42" i="1" s="1"/>
  <c r="D22" i="1"/>
  <c r="D42" i="1" s="1"/>
  <c r="H16" i="1"/>
  <c r="F16" i="1"/>
  <c r="D16" i="1"/>
  <c r="H121" i="1" l="1"/>
  <c r="G273" i="1"/>
  <c r="I26" i="1"/>
  <c r="I25" i="1" s="1"/>
  <c r="I42" i="1" s="1"/>
  <c r="G137" i="1"/>
  <c r="H304" i="1"/>
  <c r="H126" i="1"/>
  <c r="I94" i="1"/>
  <c r="F137" i="1"/>
  <c r="F25" i="1"/>
  <c r="F42" i="1" s="1"/>
  <c r="I137" i="1"/>
  <c r="F304" i="1"/>
  <c r="G294" i="1"/>
  <c r="G304" i="1"/>
  <c r="G79" i="1"/>
  <c r="G94" i="1" s="1"/>
  <c r="H27" i="1"/>
  <c r="H26" i="1" s="1"/>
  <c r="H84" i="1"/>
  <c r="H83" i="1" s="1"/>
  <c r="H82" i="1" s="1"/>
  <c r="H94" i="1" s="1"/>
  <c r="G192" i="1"/>
  <c r="H192" i="1" s="1"/>
  <c r="G215" i="1"/>
  <c r="H265" i="1"/>
  <c r="H262" i="1" s="1"/>
  <c r="H273" i="1" s="1"/>
  <c r="G33" i="1"/>
  <c r="G323" i="1"/>
  <c r="G324" i="1" s="1"/>
  <c r="G237" i="1"/>
  <c r="G160" i="1"/>
  <c r="H120" i="1" l="1"/>
  <c r="H137" i="1" s="1"/>
  <c r="G25" i="1"/>
  <c r="G42" i="1" s="1"/>
  <c r="H33" i="1"/>
  <c r="H25" i="1" s="1"/>
  <c r="H42" i="1" s="1"/>
</calcChain>
</file>

<file path=xl/sharedStrings.xml><?xml version="1.0" encoding="utf-8"?>
<sst xmlns="http://schemas.openxmlformats.org/spreadsheetml/2006/main" count="392" uniqueCount="166">
  <si>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</si>
  <si>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</si>
  <si>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</si>
  <si>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</si>
  <si>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</si>
  <si>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</si>
  <si>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</si>
  <si>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</si>
  <si>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</si>
  <si>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</si>
  <si>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</si>
  <si>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</si>
  <si>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</si>
  <si>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</si>
  <si>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</si>
  <si>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</si>
  <si>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</si>
  <si>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</si>
  <si>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</si>
  <si>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</si>
  <si>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</si>
  <si>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</si>
  <si>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</si>
  <si>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</si>
  <si>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</si>
  <si>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</si>
  <si>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</si>
  <si>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</si>
  <si>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</si>
  <si>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</si>
  <si>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</si>
  <si>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</si>
  <si>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</si>
  <si>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</si>
  <si>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</si>
  <si>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</si>
  <si>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</si>
  <si>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</si>
  <si>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</si>
  <si>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</si>
  <si>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</si>
  <si>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</si>
  <si>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</si>
  <si>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</si>
  <si>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</si>
  <si>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</si>
  <si>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</si>
  <si>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</si>
  <si>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</si>
  <si>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</si>
  <si>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</si>
  <si>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</si>
  <si>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</si>
  <si>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</si>
  <si>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</si>
  <si>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</si>
  <si>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</si>
  <si>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</si>
  <si>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</si>
  <si>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</si>
  <si>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</si>
  <si>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</si>
  <si>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</si>
  <si>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</si>
  <si>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</si>
  <si>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</si>
  <si>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</si>
  <si>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</si>
  <si>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</si>
  <si>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</si>
  <si>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</si>
  <si>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</si>
  <si>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</si>
  <si>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</si>
  <si>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</si>
  <si>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</si>
  <si>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</si>
  <si>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</si>
  <si>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</si>
  <si>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</si>
  <si>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</si>
  <si>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</si>
  <si>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</si>
  <si>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</si>
  <si>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</si>
  <si>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</si>
  <si>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</si>
  <si>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</si>
  <si>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</si>
  <si>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</si>
  <si>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</si>
  <si>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</si>
  <si>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</si>
  <si>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</si>
  <si>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</si>
  <si>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</si>
  <si>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</si>
  <si>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</si>
  <si>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</si>
  <si>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</si>
  <si>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</si>
  <si>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</si>
  <si>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</si>
  <si>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</si>
  <si>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</si>
  <si>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</si>
  <si>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</si>
  <si>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</si>
  <si>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</si>
  <si>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</si>
  <si>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</si>
  <si>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</si>
  <si>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</si>
  <si>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</si>
  <si>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</si>
  <si>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</si>
  <si>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</si>
  <si>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</si>
  <si>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</si>
  <si>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</si>
  <si>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</si>
  <si>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</si>
  <si>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</si>
  <si>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</si>
  <si>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</si>
  <si>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</si>
  <si>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</si>
  <si>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</si>
  <si>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</si>
  <si>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</si>
  <si>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</si>
  <si>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</si>
  <si>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</si>
  <si>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</si>
  <si>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</si>
  <si>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</si>
  <si>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</si>
  <si>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</si>
  <si>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</si>
  <si>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</si>
  <si>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</si>
  <si>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</si>
  <si>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</si>
  <si>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</si>
  <si>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</si>
  <si>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</si>
  <si>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</si>
  <si>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</si>
  <si>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</si>
  <si>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</si>
  <si>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</si>
  <si>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</si>
  <si>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</si>
  <si>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</si>
  <si>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</si>
  <si>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</si>
  <si>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1 397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</si>
  <si>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944 tonn er overført fra ubenyttet tredjelandskvoter til norsk totalkvote, hvorav 1 020 tonn til torsketrål, 308 til konvensjonelle havfiskefartøy, 554 tonn til lukket gruppe og 62 tonn til åpen gruppe </t>
    </r>
  </si>
  <si>
    <t>2 Registrert rekreasjonsfiske utgjør 36 tonn, men det legges til grunn at hele avsetningen tas</t>
  </si>
  <si>
    <t>4 Registrert rekreasjonsfiske utgjør 186 tonn, men det legges til grunn at hele avsetningen tas</t>
  </si>
  <si>
    <t>3 Registrert rekreasjonsfiske utgjør 630 tonn, men det legges til grunn at hele avsetningen tas</t>
  </si>
  <si>
    <t>FANGST UKE 22</t>
  </si>
  <si>
    <t>FANGST T.O.M UKE 22</t>
  </si>
  <si>
    <t>RESTKVOTER UKE 22</t>
  </si>
  <si>
    <t>FANGST T.O.M UKE 22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</si>
  <si>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477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</si>
</sst>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8" fillId="0" borderId="3" xfId="0" applyFont="1" applyBorder="1" applyAlignment="1">
      <alignment vertical="center"/>
    </xf>
    <xf numFmtId="0" fontId="11" fillId="0" borderId="32" xfId="0" applyFont="1" applyBorder="1" applyAlignment="1">
      <alignment vertical="top" wrapText="1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259" zoomScale="115" zoomScaleNormal="115" zoomScaleSheetLayoutView="100" zoomScalePageLayoutView="85" workbookViewId="0">
      <selection activeCell="G316" sqref="G316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31" t="s">
        <v>138</v>
      </c>
      <c r="C2" s="332"/>
      <c r="D2" s="332"/>
      <c r="E2" s="332"/>
      <c r="F2" s="332"/>
      <c r="G2" s="332"/>
      <c r="H2" s="332"/>
      <c r="I2" s="332"/>
      <c r="J2" s="333"/>
    </row>
    <row r="3" spans="1:10" ht="14.9" customHeight="1" x14ac:dyDescent="0.3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34"/>
      <c r="C9" s="335"/>
      <c r="D9" s="335"/>
      <c r="E9" s="335"/>
      <c r="F9" s="335"/>
      <c r="G9" s="335"/>
      <c r="H9" s="335"/>
      <c r="I9" s="335"/>
      <c r="J9" s="336"/>
    </row>
    <row r="10" spans="1:10" ht="12" customHeight="1" x14ac:dyDescent="0.3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28" t="s">
        <v>1</v>
      </c>
      <c r="D11" s="329"/>
      <c r="E11" s="328" t="s">
        <v>2</v>
      </c>
      <c r="F11" s="329"/>
      <c r="G11" s="328" t="s">
        <v>3</v>
      </c>
      <c r="H11" s="329"/>
      <c r="I11" s="173"/>
      <c r="J11" s="271"/>
    </row>
    <row r="12" spans="1:10" ht="14.15" customHeight="1" x14ac:dyDescent="0.3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3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3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3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5" customHeight="1" x14ac:dyDescent="0.3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35">
      <c r="A17" s="101"/>
      <c r="B17" s="24"/>
      <c r="C17" s="321"/>
      <c r="D17" s="321"/>
      <c r="E17" s="321"/>
      <c r="F17" s="321"/>
      <c r="G17" s="321"/>
      <c r="H17" s="321"/>
      <c r="I17" s="101"/>
      <c r="J17" s="157"/>
    </row>
    <row r="18" spans="1:10" ht="15" customHeight="1" x14ac:dyDescent="0.3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3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3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5"/>
    </row>
    <row r="22" spans="1:10" ht="14.15" customHeight="1" x14ac:dyDescent="0.35">
      <c r="A22" s="1"/>
      <c r="B22" s="281"/>
      <c r="C22" s="15" t="s">
        <v>19</v>
      </c>
      <c r="D22" s="27">
        <f>D23+D24</f>
        <v>32535</v>
      </c>
      <c r="E22" s="27">
        <f>E23+E24</f>
        <v>33432</v>
      </c>
      <c r="F22" s="27">
        <f t="shared" ref="F22:I22" si="0">F24+F23</f>
        <v>73.376999999999995</v>
      </c>
      <c r="G22" s="27">
        <f t="shared" si="0"/>
        <v>13732.79004</v>
      </c>
      <c r="H22" s="10">
        <f>H24+H23</f>
        <v>19699.20996</v>
      </c>
      <c r="I22" s="10">
        <f t="shared" si="0"/>
        <v>18997.141889999999</v>
      </c>
      <c r="J22" s="271"/>
    </row>
    <row r="23" spans="1:10" ht="14.15" customHeight="1" x14ac:dyDescent="0.35">
      <c r="A23" s="1"/>
      <c r="B23" s="281"/>
      <c r="C23" s="43" t="s">
        <v>20</v>
      </c>
      <c r="D23" s="44">
        <v>31785</v>
      </c>
      <c r="E23" s="44">
        <v>32689</v>
      </c>
      <c r="F23" s="22">
        <f>73.377</f>
        <v>73.376999999999995</v>
      </c>
      <c r="G23" s="22">
        <f>13365.70254</f>
        <v>13365.70254</v>
      </c>
      <c r="H23" s="22">
        <f>E23-G23</f>
        <v>19323.297460000002</v>
      </c>
      <c r="I23" s="22">
        <f>18700.16589</f>
        <v>18700.16589</v>
      </c>
      <c r="J23" s="271"/>
    </row>
    <row r="24" spans="1:10" ht="14.15" customHeight="1" x14ac:dyDescent="0.35">
      <c r="A24" s="1"/>
      <c r="B24" s="281"/>
      <c r="C24" s="47" t="s">
        <v>21</v>
      </c>
      <c r="D24" s="218">
        <v>750</v>
      </c>
      <c r="E24" s="218">
        <v>743</v>
      </c>
      <c r="F24" s="165">
        <f>0</f>
        <v>0</v>
      </c>
      <c r="G24" s="22">
        <f>367.0875</f>
        <v>367.08749999999998</v>
      </c>
      <c r="H24" s="22">
        <f>E24-G24</f>
        <v>375.91250000000002</v>
      </c>
      <c r="I24" s="22">
        <f>296.976</f>
        <v>296.976</v>
      </c>
      <c r="J24" s="271"/>
    </row>
    <row r="25" spans="1:10" ht="14.15" customHeight="1" x14ac:dyDescent="0.35">
      <c r="A25" s="1"/>
      <c r="B25" s="281"/>
      <c r="C25" s="15" t="s">
        <v>22</v>
      </c>
      <c r="D25" s="27">
        <f>D26+D32+D33</f>
        <v>95462</v>
      </c>
      <c r="E25" s="27">
        <f>E26+E32+E33</f>
        <v>98042</v>
      </c>
      <c r="F25" s="27">
        <f t="shared" ref="F25:I25" si="1">F33+F32+F26</f>
        <v>483.46019999999999</v>
      </c>
      <c r="G25" s="10">
        <f t="shared" si="1"/>
        <v>78629.568839999891</v>
      </c>
      <c r="H25" s="10">
        <f>H33+H32+H26</f>
        <v>19412.431160000102</v>
      </c>
      <c r="I25" s="10">
        <f t="shared" si="1"/>
        <v>95203.271080000006</v>
      </c>
      <c r="J25" s="271"/>
    </row>
    <row r="26" spans="1:10" ht="15" customHeight="1" x14ac:dyDescent="0.35">
      <c r="A26" s="49"/>
      <c r="B26" s="51"/>
      <c r="C26" s="54" t="s">
        <v>23</v>
      </c>
      <c r="D26" s="55">
        <f>D27+D28+D29+D30+D31</f>
        <v>75488</v>
      </c>
      <c r="E26" s="55">
        <f>E27+E28+E29+E30+E31</f>
        <v>77858</v>
      </c>
      <c r="F26" s="129">
        <f>F27+F28+F29+F30+F31</f>
        <v>432.17232999999999</v>
      </c>
      <c r="G26" s="129">
        <f>G27+G28+G29+G30+G31</f>
        <v>64313.147999999994</v>
      </c>
      <c r="H26" s="129">
        <f>H27+H28+H29+H30+H31</f>
        <v>13544.852000000001</v>
      </c>
      <c r="I26" s="129">
        <f t="shared" ref="I26" si="2">I27+I28+I29+I30+I31</f>
        <v>77261.016730000003</v>
      </c>
      <c r="J26" s="271"/>
    </row>
    <row r="27" spans="1:10" ht="14.15" customHeight="1" x14ac:dyDescent="0.35">
      <c r="A27" s="192"/>
      <c r="B27" s="176"/>
      <c r="C27" s="60" t="s">
        <v>24</v>
      </c>
      <c r="D27" s="61">
        <v>19164</v>
      </c>
      <c r="E27" s="61">
        <v>20868</v>
      </c>
      <c r="F27" s="209">
        <f>59.84046 - F53</f>
        <v>59.84046</v>
      </c>
      <c r="G27" s="123">
        <f>18986.65944 - G53</f>
        <v>18986.659439999999</v>
      </c>
      <c r="H27" s="123">
        <f t="shared" ref="H27:H41" si="3">E27-G27</f>
        <v>1881.3405600000006</v>
      </c>
      <c r="I27" s="123">
        <f>22014.38049 - I53</f>
        <v>22014.38049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19036</v>
      </c>
      <c r="E28" s="61">
        <v>19720</v>
      </c>
      <c r="F28" s="123">
        <f>67.04901 - F54</f>
        <v>67.049009999999996</v>
      </c>
      <c r="G28" s="123">
        <f>18304.00978 - G54</f>
        <v>18304.00978</v>
      </c>
      <c r="H28" s="123">
        <f t="shared" si="3"/>
        <v>1415.9902199999997</v>
      </c>
      <c r="I28" s="123">
        <f>21500.46857 - I54</f>
        <v>21500.468570000001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17407</v>
      </c>
      <c r="E29" s="61">
        <v>17625</v>
      </c>
      <c r="F29" s="123">
        <f>52.30285 - F55</f>
        <v>52.302849999999999</v>
      </c>
      <c r="G29" s="123">
        <f>15236.46688 - G55</f>
        <v>15236.46688</v>
      </c>
      <c r="H29" s="123">
        <f t="shared" si="3"/>
        <v>2388.5331200000001</v>
      </c>
      <c r="I29" s="123">
        <f>20096.49417 - I55</f>
        <v>20096.494170000002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12796</v>
      </c>
      <c r="E30" s="61">
        <v>12954</v>
      </c>
      <c r="F30" s="123">
        <f>252.98001 - F56</f>
        <v>252.98000999999999</v>
      </c>
      <c r="G30" s="123">
        <f>11786.0119 - G56</f>
        <v>11786.0119</v>
      </c>
      <c r="H30" s="123">
        <f t="shared" si="3"/>
        <v>1167.9881000000005</v>
      </c>
      <c r="I30" s="123">
        <f>13649.6735 - I56</f>
        <v>13649.673500000001</v>
      </c>
      <c r="J30" s="63"/>
    </row>
    <row r="31" spans="1:10" ht="14.15" customHeight="1" x14ac:dyDescent="0.35">
      <c r="A31" s="192"/>
      <c r="B31" s="176"/>
      <c r="C31" s="60" t="s">
        <v>136</v>
      </c>
      <c r="D31" s="61">
        <v>7085</v>
      </c>
      <c r="E31" s="61">
        <v>6691</v>
      </c>
      <c r="F31" s="123">
        <f>F52</f>
        <v>0</v>
      </c>
      <c r="G31" s="123">
        <f>G52</f>
        <v>0</v>
      </c>
      <c r="H31" s="123">
        <f t="shared" si="3"/>
        <v>6691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10717</v>
      </c>
      <c r="E32" s="55">
        <v>10907</v>
      </c>
      <c r="F32" s="129">
        <f>1.3995</f>
        <v>1.3995</v>
      </c>
      <c r="G32" s="129">
        <f>4923.09465</f>
        <v>4923.09465</v>
      </c>
      <c r="H32" s="129">
        <f t="shared" si="3"/>
        <v>5983.90535</v>
      </c>
      <c r="I32" s="129">
        <f>7390.53794</f>
        <v>7390.5379400000002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9257</v>
      </c>
      <c r="E33" s="55">
        <f>E34+E35</f>
        <v>9277</v>
      </c>
      <c r="F33" s="129">
        <f>F34+F35</f>
        <v>49.888369999999995</v>
      </c>
      <c r="G33" s="129">
        <f>G34+G35</f>
        <v>9393.3261899998997</v>
      </c>
      <c r="H33" s="129">
        <f t="shared" si="3"/>
        <v>-116.32618999989973</v>
      </c>
      <c r="I33" s="129">
        <f>I34+I35</f>
        <v>10551.716410000001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8392</v>
      </c>
      <c r="E34" s="61">
        <v>8412</v>
      </c>
      <c r="F34" s="123">
        <f>77.88837 - F57 - F58</f>
        <v>49.888369999999995</v>
      </c>
      <c r="G34" s="129">
        <f>11851.3261899999 - G57 - G58</f>
        <v>9393.3261899998997</v>
      </c>
      <c r="H34" s="123">
        <f t="shared" si="3"/>
        <v>-981.32618999989973</v>
      </c>
      <c r="I34" s="123">
        <f>12300.71641 - I57 - I58</f>
        <v>10551.716410000001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865</v>
      </c>
      <c r="E35" s="220">
        <v>865</v>
      </c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35">
      <c r="A36" s="1"/>
      <c r="B36" s="281"/>
      <c r="C36" s="70" t="s">
        <v>32</v>
      </c>
      <c r="D36" s="140">
        <v>500</v>
      </c>
      <c r="E36" s="140">
        <v>500</v>
      </c>
      <c r="F36" s="136">
        <f>0</f>
        <v>0</v>
      </c>
      <c r="G36" s="136">
        <f>477.6856</f>
        <v>477.68560000000002</v>
      </c>
      <c r="H36" s="136">
        <f t="shared" si="3"/>
        <v>22.314399999999978</v>
      </c>
      <c r="I36" s="136">
        <f>270.3376</f>
        <v>270.33760000000001</v>
      </c>
      <c r="J36" s="271"/>
    </row>
    <row r="37" spans="1:10" ht="14.15" customHeight="1" x14ac:dyDescent="0.35">
      <c r="A37" s="1"/>
      <c r="B37" s="281"/>
      <c r="C37" s="70" t="s">
        <v>33</v>
      </c>
      <c r="D37" s="140">
        <v>880</v>
      </c>
      <c r="E37" s="140">
        <v>880</v>
      </c>
      <c r="F37" s="95">
        <f>3.1125</f>
        <v>3.1124999999999998</v>
      </c>
      <c r="G37" s="95">
        <f>534.5101</f>
        <v>534.51009999999997</v>
      </c>
      <c r="H37" s="95">
        <f t="shared" si="3"/>
        <v>345.48990000000003</v>
      </c>
      <c r="I37" s="95">
        <f>541.59517</f>
        <v>541.59517000000005</v>
      </c>
      <c r="J37" s="271"/>
    </row>
    <row r="38" spans="1:10" ht="17.25" customHeight="1" x14ac:dyDescent="0.35">
      <c r="A38" s="1"/>
      <c r="B38" s="281"/>
      <c r="C38" s="70" t="s">
        <v>34</v>
      </c>
      <c r="D38" s="140">
        <v>3000</v>
      </c>
      <c r="E38" s="140">
        <v>3000</v>
      </c>
      <c r="F38" s="95">
        <f>F58</f>
        <v>28</v>
      </c>
      <c r="G38" s="95">
        <f>G58</f>
        <v>2458</v>
      </c>
      <c r="H38" s="95">
        <f t="shared" si="3"/>
        <v>542</v>
      </c>
      <c r="I38" s="95">
        <f>I58</f>
        <v>1749</v>
      </c>
      <c r="J38" s="271"/>
    </row>
    <row r="39" spans="1:10" ht="17.25" customHeight="1" x14ac:dyDescent="0.35">
      <c r="A39" s="1"/>
      <c r="B39" s="281"/>
      <c r="C39" s="70" t="s">
        <v>35</v>
      </c>
      <c r="D39" s="140">
        <v>7000</v>
      </c>
      <c r="E39" s="140">
        <v>7000</v>
      </c>
      <c r="F39" s="95">
        <f>3.75402</f>
        <v>3.7540200000000001</v>
      </c>
      <c r="G39" s="95">
        <f>E39</f>
        <v>7000</v>
      </c>
      <c r="H39" s="95">
        <f t="shared" si="3"/>
        <v>0</v>
      </c>
      <c r="I39" s="95">
        <f>E39</f>
        <v>7000</v>
      </c>
      <c r="J39" s="271"/>
    </row>
    <row r="40" spans="1:10" ht="17.25" customHeight="1" x14ac:dyDescent="0.35">
      <c r="A40" s="1"/>
      <c r="B40" s="281"/>
      <c r="C40" s="70" t="s">
        <v>37</v>
      </c>
      <c r="D40" s="140">
        <v>450</v>
      </c>
      <c r="E40" s="140">
        <v>450</v>
      </c>
      <c r="F40" s="95">
        <f>0.4606</f>
        <v>0.46060000000000001</v>
      </c>
      <c r="G40" s="95">
        <f>388.58079</f>
        <v>388.58078999999998</v>
      </c>
      <c r="H40" s="95">
        <f t="shared" si="3"/>
        <v>61.419210000000021</v>
      </c>
      <c r="I40" s="95">
        <f>360.94238</f>
        <v>360.94238000000001</v>
      </c>
      <c r="J40" s="271"/>
    </row>
    <row r="41" spans="1:10" ht="14.15" customHeight="1" x14ac:dyDescent="0.35">
      <c r="A41" s="1"/>
      <c r="B41" s="281"/>
      <c r="C41" s="70" t="s">
        <v>38</v>
      </c>
      <c r="D41" s="140"/>
      <c r="E41" s="136"/>
      <c r="F41" s="136">
        <f>0</f>
        <v>0</v>
      </c>
      <c r="G41" s="136">
        <f>41.38355</f>
        <v>41.38355</v>
      </c>
      <c r="H41" s="136">
        <f t="shared" si="3"/>
        <v>-41.38355</v>
      </c>
      <c r="I41" s="136">
        <f>66.51068</f>
        <v>66.510679999999994</v>
      </c>
      <c r="J41" s="271"/>
    </row>
    <row r="42" spans="1:10" ht="16.5" customHeight="1" x14ac:dyDescent="0.3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143304</v>
      </c>
      <c r="F42" s="73">
        <f t="shared" ref="F42:I42" si="4">F22+F25+F36+F37+F38+F39+F40+F41</f>
        <v>592.16431999999986</v>
      </c>
      <c r="G42" s="73">
        <f t="shared" si="4"/>
        <v>103262.51891999989</v>
      </c>
      <c r="H42" s="73">
        <f>H22+H25+H36+H37+H38+H39+H40+H41</f>
        <v>40041.481080000107</v>
      </c>
      <c r="I42" s="73">
        <f t="shared" si="4"/>
        <v>124188.7988</v>
      </c>
      <c r="J42" s="271"/>
    </row>
    <row r="43" spans="1:10" ht="14.15" customHeight="1" x14ac:dyDescent="0.35">
      <c r="A43" s="101"/>
      <c r="B43" s="24"/>
      <c r="C43" s="74" t="s">
        <v>139</v>
      </c>
      <c r="D43" s="216"/>
      <c r="E43" s="216"/>
      <c r="F43" s="76"/>
      <c r="G43" s="76"/>
      <c r="H43" s="255"/>
      <c r="I43" s="255"/>
      <c r="J43" s="77"/>
    </row>
    <row r="44" spans="1:10" ht="14.15" customHeight="1" x14ac:dyDescent="0.35">
      <c r="A44" s="101"/>
      <c r="B44" s="24"/>
      <c r="C44" s="78" t="s">
        <v>135</v>
      </c>
      <c r="D44" s="216"/>
      <c r="E44" s="216"/>
      <c r="F44" s="216"/>
      <c r="G44" s="76"/>
      <c r="H44" s="173"/>
      <c r="I44" s="173"/>
      <c r="J44" s="271"/>
    </row>
    <row r="45" spans="1:10" ht="14.15" customHeight="1" x14ac:dyDescent="0.3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140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35">
      <c r="A49" s="101"/>
      <c r="B49" s="24"/>
      <c r="C49" s="324" t="s">
        <v>137</v>
      </c>
      <c r="D49" s="324"/>
      <c r="E49" s="324"/>
      <c r="F49" s="324"/>
      <c r="G49" s="324"/>
      <c r="H49" s="324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71"/>
    </row>
    <row r="52" spans="1:10" ht="14.15" customHeight="1" x14ac:dyDescent="0.35">
      <c r="A52" s="101"/>
      <c r="B52" s="24"/>
      <c r="C52" s="15" t="s">
        <v>42</v>
      </c>
      <c r="D52" s="325">
        <v>7085</v>
      </c>
      <c r="E52" s="325">
        <v>6691</v>
      </c>
      <c r="F52" s="10">
        <f>F56+F55+F54+F53</f>
        <v>0</v>
      </c>
      <c r="G52" s="10">
        <f>G56+G55+G54+G53</f>
        <v>0</v>
      </c>
      <c r="H52" s="325">
        <f>E52-G52</f>
        <v>6691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326"/>
      <c r="E53" s="326"/>
      <c r="F53" s="123"/>
      <c r="G53" s="123"/>
      <c r="H53" s="326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326"/>
      <c r="E54" s="326"/>
      <c r="F54" s="123"/>
      <c r="G54" s="123"/>
      <c r="H54" s="326"/>
      <c r="I54" s="123"/>
      <c r="J54" s="271"/>
    </row>
    <row r="55" spans="1:10" ht="14.15" customHeight="1" x14ac:dyDescent="0.35">
      <c r="A55" s="101"/>
      <c r="B55" s="24"/>
      <c r="C55" s="60" t="s">
        <v>26</v>
      </c>
      <c r="D55" s="326"/>
      <c r="E55" s="326"/>
      <c r="F55" s="123"/>
      <c r="G55" s="123"/>
      <c r="H55" s="326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327"/>
      <c r="E56" s="327"/>
      <c r="F56" s="186"/>
      <c r="G56" s="186"/>
      <c r="H56" s="327"/>
      <c r="I56" s="186"/>
      <c r="J56" s="117"/>
    </row>
    <row r="57" spans="1:10" ht="14.15" customHeight="1" x14ac:dyDescent="0.35">
      <c r="A57" s="101"/>
      <c r="B57" s="24"/>
      <c r="C57" s="85" t="s">
        <v>43</v>
      </c>
      <c r="D57" s="92">
        <v>865</v>
      </c>
      <c r="E57" s="92">
        <v>865</v>
      </c>
      <c r="F57" s="92"/>
      <c r="G57" s="92"/>
      <c r="H57" s="92">
        <f>E57-G57</f>
        <v>865</v>
      </c>
      <c r="I57" s="92"/>
      <c r="J57" s="271"/>
    </row>
    <row r="58" spans="1:10" ht="14.15" customHeight="1" x14ac:dyDescent="0.35">
      <c r="A58" s="101"/>
      <c r="B58" s="24"/>
      <c r="C58" s="139" t="s">
        <v>44</v>
      </c>
      <c r="D58" s="136">
        <v>3000</v>
      </c>
      <c r="E58" s="136">
        <v>3000</v>
      </c>
      <c r="F58" s="136">
        <v>28</v>
      </c>
      <c r="G58" s="136">
        <v>2458</v>
      </c>
      <c r="H58" s="136">
        <f>E58-G58</f>
        <v>542</v>
      </c>
      <c r="I58" s="136">
        <v>1749</v>
      </c>
      <c r="J58" s="117"/>
    </row>
    <row r="59" spans="1:10" ht="14.15" customHeight="1" x14ac:dyDescent="0.35">
      <c r="A59" s="101"/>
      <c r="B59" s="24"/>
      <c r="C59" s="74" t="s">
        <v>141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28" t="s">
        <v>1</v>
      </c>
      <c r="D68" s="329"/>
      <c r="E68" s="328" t="s">
        <v>2</v>
      </c>
      <c r="F68" s="330"/>
      <c r="G68" s="328" t="s">
        <v>3</v>
      </c>
      <c r="H68" s="329"/>
      <c r="I68" s="173"/>
      <c r="J68" s="271"/>
    </row>
    <row r="69" spans="1:10" ht="15" customHeight="1" x14ac:dyDescent="0.35">
      <c r="B69" s="281"/>
      <c r="C69" s="110" t="s">
        <v>79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3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5" customHeight="1" x14ac:dyDescent="0.3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3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35">
      <c r="A73" s="1"/>
      <c r="B73" s="281"/>
      <c r="C73" s="101" t="s">
        <v>157</v>
      </c>
      <c r="D73" s="244"/>
      <c r="E73" s="244"/>
      <c r="F73" s="244"/>
      <c r="G73" s="244"/>
      <c r="H73" s="244"/>
      <c r="I73" s="263"/>
      <c r="J73" s="117"/>
    </row>
    <row r="74" spans="1:10" ht="6" customHeight="1" x14ac:dyDescent="0.3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5" customHeight="1" x14ac:dyDescent="0.3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3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3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5" customHeight="1" x14ac:dyDescent="0.35">
      <c r="A79" s="1"/>
      <c r="B79" s="281"/>
      <c r="C79" s="31" t="s">
        <v>19</v>
      </c>
      <c r="D79" s="27">
        <f>D80+D81</f>
        <v>28395</v>
      </c>
      <c r="E79" s="27">
        <f>E81+E80</f>
        <v>29899</v>
      </c>
      <c r="F79" s="10">
        <f t="shared" ref="F79:I79" si="5">F81+F80</f>
        <v>121.29600000000001</v>
      </c>
      <c r="G79" s="10">
        <f t="shared" si="5"/>
        <v>21547.636829999999</v>
      </c>
      <c r="H79" s="10">
        <f>H81+H80</f>
        <v>8351.3631700000005</v>
      </c>
      <c r="I79" s="10">
        <f t="shared" si="5"/>
        <v>18952.298190000001</v>
      </c>
      <c r="J79" s="271"/>
    </row>
    <row r="80" spans="1:10" ht="15" customHeight="1" x14ac:dyDescent="0.35">
      <c r="A80" s="1"/>
      <c r="B80" s="281"/>
      <c r="C80" s="43" t="s">
        <v>20</v>
      </c>
      <c r="D80" s="44">
        <v>27645</v>
      </c>
      <c r="E80" s="44">
        <v>29143</v>
      </c>
      <c r="F80" s="22">
        <f>121.296</f>
        <v>121.29600000000001</v>
      </c>
      <c r="G80" s="22">
        <f>21044.3425</f>
        <v>21044.342499999999</v>
      </c>
      <c r="H80" s="22">
        <f>E80-G80</f>
        <v>8098.6575000000012</v>
      </c>
      <c r="I80" s="22">
        <f>18541.38069</f>
        <v>18541.380690000002</v>
      </c>
      <c r="J80" s="271"/>
    </row>
    <row r="81" spans="1:10" ht="14.15" customHeight="1" x14ac:dyDescent="0.35">
      <c r="A81" s="1"/>
      <c r="B81" s="281"/>
      <c r="C81" s="62" t="s">
        <v>21</v>
      </c>
      <c r="D81" s="218">
        <v>750</v>
      </c>
      <c r="E81" s="218">
        <v>756</v>
      </c>
      <c r="F81" s="48">
        <f>0</f>
        <v>0</v>
      </c>
      <c r="G81" s="48">
        <f>503.29433</f>
        <v>503.29433</v>
      </c>
      <c r="H81" s="48">
        <f>E81-G81</f>
        <v>252.70567</v>
      </c>
      <c r="I81" s="48">
        <f>410.9175</f>
        <v>410.91750000000002</v>
      </c>
      <c r="J81" s="271"/>
    </row>
    <row r="82" spans="1:10" ht="15.75" customHeight="1" x14ac:dyDescent="0.35">
      <c r="A82" s="1"/>
      <c r="B82" s="50"/>
      <c r="C82" s="15" t="s">
        <v>22</v>
      </c>
      <c r="D82" s="27">
        <f>D83+D88+D89</f>
        <v>47281</v>
      </c>
      <c r="E82" s="27">
        <f>E83+E88+E89</f>
        <v>51672</v>
      </c>
      <c r="F82" s="10">
        <f t="shared" ref="F82:I82" si="6">F83+F88+F89</f>
        <v>738.48959000000013</v>
      </c>
      <c r="G82" s="10">
        <f t="shared" si="6"/>
        <v>20440.685589999968</v>
      </c>
      <c r="H82" s="10">
        <f>H83+H88+H89</f>
        <v>31231.314410000032</v>
      </c>
      <c r="I82" s="10">
        <f t="shared" si="6"/>
        <v>22134.325679999973</v>
      </c>
      <c r="J82" s="271"/>
    </row>
    <row r="83" spans="1:10" ht="14.15" customHeight="1" x14ac:dyDescent="0.35">
      <c r="A83" s="1"/>
      <c r="B83" s="51"/>
      <c r="C83" s="54" t="s">
        <v>23</v>
      </c>
      <c r="D83" s="55">
        <f>D84+D85+D86+D87</f>
        <v>35236</v>
      </c>
      <c r="E83" s="55">
        <f>E87+E86+E85+E84</f>
        <v>38016</v>
      </c>
      <c r="F83" s="129">
        <f t="shared" ref="F83:I83" si="7">F84+F85+F86+F87</f>
        <v>676.03744000000006</v>
      </c>
      <c r="G83" s="129">
        <f t="shared" si="7"/>
        <v>15363.862529999969</v>
      </c>
      <c r="H83" s="129">
        <f>H84+H85+H86+H87</f>
        <v>22652.137470000031</v>
      </c>
      <c r="I83" s="129">
        <f t="shared" si="7"/>
        <v>17652.948639999951</v>
      </c>
      <c r="J83" s="271"/>
    </row>
    <row r="84" spans="1:10" ht="14.15" customHeight="1" x14ac:dyDescent="0.35">
      <c r="A84" s="192"/>
      <c r="B84" s="176"/>
      <c r="C84" s="60" t="s">
        <v>24</v>
      </c>
      <c r="D84" s="61">
        <v>9425</v>
      </c>
      <c r="E84" s="61">
        <v>10530</v>
      </c>
      <c r="F84" s="123">
        <f>72.63231</f>
        <v>72.632310000000004</v>
      </c>
      <c r="G84" s="123">
        <f>2561.88880999998</f>
        <v>2561.8888099999799</v>
      </c>
      <c r="H84" s="123">
        <f t="shared" ref="H84:H93" si="8">E84-G84</f>
        <v>7968.1111900000196</v>
      </c>
      <c r="I84" s="123">
        <f>2663.15660999997</f>
        <v>2663.15660999997</v>
      </c>
      <c r="J84" s="271"/>
    </row>
    <row r="85" spans="1:10" ht="14.15" customHeight="1" x14ac:dyDescent="0.35">
      <c r="A85" s="192"/>
      <c r="B85" s="176"/>
      <c r="C85" s="60" t="s">
        <v>48</v>
      </c>
      <c r="D85" s="61">
        <v>9801</v>
      </c>
      <c r="E85" s="61">
        <v>10962</v>
      </c>
      <c r="F85" s="123">
        <f>248.41914</f>
        <v>248.41914</v>
      </c>
      <c r="G85" s="123">
        <f>5526.71593999999</f>
        <v>5526.71593999999</v>
      </c>
      <c r="H85" s="123">
        <f t="shared" si="8"/>
        <v>5435.28406000001</v>
      </c>
      <c r="I85" s="123">
        <f>4714.04173999998</f>
        <v>4714.0417399999797</v>
      </c>
      <c r="J85" s="271"/>
    </row>
    <row r="86" spans="1:10" ht="14.15" customHeight="1" x14ac:dyDescent="0.35">
      <c r="A86" s="192"/>
      <c r="B86" s="176"/>
      <c r="C86" s="60" t="s">
        <v>49</v>
      </c>
      <c r="D86" s="61">
        <v>9599</v>
      </c>
      <c r="E86" s="61">
        <v>9908</v>
      </c>
      <c r="F86" s="123">
        <f>67.75348</f>
        <v>67.753479999999996</v>
      </c>
      <c r="G86" s="123">
        <f>4255.586</f>
        <v>4255.5860000000002</v>
      </c>
      <c r="H86" s="123">
        <f t="shared" si="8"/>
        <v>5652.4139999999998</v>
      </c>
      <c r="I86" s="123">
        <f>6024.68988</f>
        <v>6024.6898799999999</v>
      </c>
      <c r="J86" s="271"/>
    </row>
    <row r="87" spans="1:10" ht="14.15" customHeight="1" x14ac:dyDescent="0.35">
      <c r="A87" s="192"/>
      <c r="B87" s="176"/>
      <c r="C87" s="60" t="s">
        <v>27</v>
      </c>
      <c r="D87" s="61">
        <v>6411</v>
      </c>
      <c r="E87" s="61">
        <v>6616</v>
      </c>
      <c r="F87" s="123">
        <f>287.23251</f>
        <v>287.23250999999999</v>
      </c>
      <c r="G87" s="123">
        <f>3019.67178</f>
        <v>3019.6717800000001</v>
      </c>
      <c r="H87" s="123">
        <f t="shared" si="8"/>
        <v>3596.3282199999999</v>
      </c>
      <c r="I87" s="123">
        <f>4251.06041</f>
        <v>4251.06041</v>
      </c>
      <c r="J87" s="271"/>
    </row>
    <row r="88" spans="1:10" ht="14.15" customHeight="1" x14ac:dyDescent="0.35">
      <c r="A88" s="192"/>
      <c r="B88" s="176"/>
      <c r="C88" s="54" t="s">
        <v>50</v>
      </c>
      <c r="D88" s="55">
        <v>8339</v>
      </c>
      <c r="E88" s="55">
        <v>9513</v>
      </c>
      <c r="F88" s="129">
        <f>47.642</f>
        <v>47.642000000000003</v>
      </c>
      <c r="G88" s="129">
        <f>3805.23934</f>
        <v>3805.2393400000001</v>
      </c>
      <c r="H88" s="129">
        <f t="shared" si="8"/>
        <v>5707.7606599999999</v>
      </c>
      <c r="I88" s="129">
        <f>3408.51447</f>
        <v>3408.5144700000001</v>
      </c>
      <c r="J88" s="271"/>
    </row>
    <row r="89" spans="1:10" ht="15.75" customHeight="1" x14ac:dyDescent="0.35">
      <c r="A89" s="1"/>
      <c r="B89" s="51"/>
      <c r="C89" s="37" t="s">
        <v>11</v>
      </c>
      <c r="D89" s="59">
        <v>3706</v>
      </c>
      <c r="E89" s="59">
        <v>4143</v>
      </c>
      <c r="F89" s="72">
        <f>14.81015</f>
        <v>14.81015</v>
      </c>
      <c r="G89" s="72">
        <f>1271.58372</f>
        <v>1271.5837200000001</v>
      </c>
      <c r="H89" s="72">
        <f t="shared" si="8"/>
        <v>2871.4162799999999</v>
      </c>
      <c r="I89" s="72">
        <f>1072.86257000002</f>
        <v>1072.86257000002</v>
      </c>
      <c r="J89" s="271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>
        <v>319</v>
      </c>
      <c r="F90" s="95">
        <f>0</f>
        <v>0</v>
      </c>
      <c r="G90" s="95">
        <f>11.61987</f>
        <v>11.619870000000001</v>
      </c>
      <c r="H90" s="95">
        <f t="shared" si="8"/>
        <v>307.38013000000001</v>
      </c>
      <c r="I90" s="95">
        <f>27.17343</f>
        <v>27.17343</v>
      </c>
      <c r="J90" s="271"/>
    </row>
    <row r="91" spans="1:10" ht="18" customHeight="1" x14ac:dyDescent="0.35">
      <c r="A91" s="1"/>
      <c r="B91" s="281"/>
      <c r="C91" s="70" t="s">
        <v>51</v>
      </c>
      <c r="D91" s="140">
        <v>300</v>
      </c>
      <c r="E91" s="140">
        <v>300</v>
      </c>
      <c r="F91" s="136">
        <f>0.0531</f>
        <v>5.3100000000000001E-2</v>
      </c>
      <c r="G91" s="136">
        <f>E91</f>
        <v>300</v>
      </c>
      <c r="H91" s="136">
        <f t="shared" si="8"/>
        <v>0</v>
      </c>
      <c r="I91" s="136">
        <f>E91</f>
        <v>300</v>
      </c>
      <c r="J91" s="271"/>
    </row>
    <row r="92" spans="1:10" ht="16.5" customHeight="1" x14ac:dyDescent="0.35">
      <c r="A92" s="1"/>
      <c r="B92" s="281"/>
      <c r="C92" s="89" t="s">
        <v>37</v>
      </c>
      <c r="D92" s="140">
        <v>50</v>
      </c>
      <c r="E92" s="140">
        <v>50</v>
      </c>
      <c r="F92" s="95">
        <f>0.08476</f>
        <v>8.4760000000000002E-2</v>
      </c>
      <c r="G92" s="95">
        <f>3.59108</f>
        <v>3.5910799999999998</v>
      </c>
      <c r="H92" s="136">
        <f t="shared" si="8"/>
        <v>46.408920000000002</v>
      </c>
      <c r="I92" s="95">
        <f>11.91775</f>
        <v>11.91775</v>
      </c>
      <c r="J92" s="271"/>
    </row>
    <row r="93" spans="1:10" ht="18" customHeight="1" x14ac:dyDescent="0.35">
      <c r="A93" s="1"/>
      <c r="B93" s="281"/>
      <c r="C93" s="89" t="s">
        <v>52</v>
      </c>
      <c r="D93" s="140"/>
      <c r="E93" s="136"/>
      <c r="F93" s="136">
        <f>0</f>
        <v>0</v>
      </c>
      <c r="G93" s="136">
        <f>8.6542</f>
        <v>8.6541999999999994</v>
      </c>
      <c r="H93" s="136">
        <f t="shared" si="8"/>
        <v>-8.6541999999999994</v>
      </c>
      <c r="I93" s="136">
        <f>11.8549</f>
        <v>11.854900000000001</v>
      </c>
      <c r="J93" s="271"/>
    </row>
    <row r="94" spans="1:10" ht="16.5" customHeight="1" x14ac:dyDescent="0.3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82240</v>
      </c>
      <c r="F94" s="73">
        <f t="shared" ref="F94:I94" si="10">F79+F82+F90+F91+F92+F93</f>
        <v>859.92345000000012</v>
      </c>
      <c r="G94" s="73">
        <f t="shared" si="10"/>
        <v>42312.187569999965</v>
      </c>
      <c r="H94" s="73">
        <f>H79+H82+H90+H91+H92+H93</f>
        <v>39927.812430000035</v>
      </c>
      <c r="I94" s="73">
        <f t="shared" si="10"/>
        <v>41437.569949999976</v>
      </c>
      <c r="J94" s="271"/>
    </row>
    <row r="95" spans="1:10" ht="13.5" customHeight="1" x14ac:dyDescent="0.35">
      <c r="A95" s="1"/>
      <c r="B95" s="281"/>
      <c r="C95" s="74" t="s">
        <v>142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35">
      <c r="A96" s="1"/>
      <c r="B96" s="24"/>
      <c r="C96" s="156" t="s">
        <v>158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35">
      <c r="A97" s="1"/>
      <c r="B97" s="24"/>
      <c r="C97" s="156" t="s">
        <v>143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3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3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5" customHeight="1" x14ac:dyDescent="0.3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5" customHeight="1" x14ac:dyDescent="0.3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5" customHeight="1" x14ac:dyDescent="0.3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5" customHeight="1" x14ac:dyDescent="0.35">
      <c r="A109" s="1"/>
      <c r="B109" s="149"/>
      <c r="C109" s="161"/>
      <c r="D109" s="185"/>
      <c r="E109" s="185" t="s">
        <v>144</v>
      </c>
      <c r="F109" s="114">
        <v>4158</v>
      </c>
      <c r="G109" s="110"/>
      <c r="H109" s="161"/>
      <c r="I109" s="173"/>
      <c r="J109" s="271"/>
    </row>
    <row r="110" spans="1:10" ht="12" customHeight="1" x14ac:dyDescent="0.3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35">
      <c r="A111" s="101"/>
      <c r="B111" s="24"/>
      <c r="C111" s="101" t="s">
        <v>145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3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5"/>
    </row>
    <row r="115" spans="1:10" ht="14.15" customHeight="1" x14ac:dyDescent="0.35">
      <c r="A115" s="1"/>
      <c r="B115" s="281"/>
      <c r="C115" s="15" t="s">
        <v>58</v>
      </c>
      <c r="D115" s="27">
        <f>D116+D117+D118</f>
        <v>54246</v>
      </c>
      <c r="E115" s="27">
        <f>E116+E117+E118</f>
        <v>54246</v>
      </c>
      <c r="F115" s="10">
        <f t="shared" ref="F115:I115" si="11">F116+F117+F118</f>
        <v>243.33885000000001</v>
      </c>
      <c r="G115" s="10">
        <f t="shared" si="11"/>
        <v>17900.996650000001</v>
      </c>
      <c r="H115" s="10">
        <f t="shared" si="11"/>
        <v>36345.003349999999</v>
      </c>
      <c r="I115" s="10">
        <f t="shared" si="11"/>
        <v>29185.853289999999</v>
      </c>
      <c r="J115" s="271"/>
    </row>
    <row r="116" spans="1:10" ht="14.15" customHeight="1" x14ac:dyDescent="0.35">
      <c r="A116" s="1"/>
      <c r="B116" s="281"/>
      <c r="C116" s="43" t="s">
        <v>20</v>
      </c>
      <c r="D116" s="44">
        <v>43397</v>
      </c>
      <c r="E116" s="44">
        <v>43397</v>
      </c>
      <c r="F116" s="22">
        <f>243.33885</f>
        <v>243.33885000000001</v>
      </c>
      <c r="G116" s="22">
        <f>15569.5259</f>
        <v>15569.525900000001</v>
      </c>
      <c r="H116" s="22">
        <f>E116-G116</f>
        <v>27827.474099999999</v>
      </c>
      <c r="I116" s="22">
        <f>26020.47449</f>
        <v>26020.474490000001</v>
      </c>
      <c r="J116" s="271"/>
    </row>
    <row r="117" spans="1:10" ht="15" customHeight="1" x14ac:dyDescent="0.35">
      <c r="A117" s="1"/>
      <c r="B117" s="281"/>
      <c r="C117" s="43" t="s">
        <v>21</v>
      </c>
      <c r="D117" s="44">
        <v>10349</v>
      </c>
      <c r="E117" s="44">
        <v>10349</v>
      </c>
      <c r="F117" s="22">
        <f>0</f>
        <v>0</v>
      </c>
      <c r="G117" s="22">
        <f>2258.53025</f>
        <v>2258.5302499999998</v>
      </c>
      <c r="H117" s="22">
        <f>E117-G117</f>
        <v>8090.4697500000002</v>
      </c>
      <c r="I117" s="22">
        <f>3100.0212</f>
        <v>3100.0212000000001</v>
      </c>
      <c r="J117" s="271"/>
    </row>
    <row r="118" spans="1:10" ht="13.5" customHeight="1" x14ac:dyDescent="0.35">
      <c r="A118" s="1"/>
      <c r="B118" s="281"/>
      <c r="C118" s="47" t="s">
        <v>59</v>
      </c>
      <c r="D118" s="32">
        <v>500</v>
      </c>
      <c r="E118" s="32">
        <v>500</v>
      </c>
      <c r="F118" s="22">
        <f>0</f>
        <v>0</v>
      </c>
      <c r="G118" s="22">
        <f>72.9405</f>
        <v>72.9405</v>
      </c>
      <c r="H118" s="53">
        <f>E118-G118</f>
        <v>427.05950000000001</v>
      </c>
      <c r="I118" s="22">
        <f>65.3576</f>
        <v>65.357600000000005</v>
      </c>
      <c r="J118" s="271"/>
    </row>
    <row r="119" spans="1:10" ht="14.25" customHeight="1" x14ac:dyDescent="0.35">
      <c r="A119" s="65"/>
      <c r="B119" s="75"/>
      <c r="C119" s="85" t="s">
        <v>60</v>
      </c>
      <c r="D119" s="87">
        <v>36653</v>
      </c>
      <c r="E119" s="87">
        <v>36653</v>
      </c>
      <c r="F119" s="92">
        <f>924.367</f>
        <v>924.36699999999996</v>
      </c>
      <c r="G119" s="92">
        <f>5825.05615+21.8318+454.9089</f>
        <v>6301.7968500000006</v>
      </c>
      <c r="H119" s="92">
        <f>E119-G119</f>
        <v>30351.203150000001</v>
      </c>
      <c r="I119" s="92">
        <f>12182.0228</f>
        <v>12182.022800000001</v>
      </c>
      <c r="J119" s="111"/>
    </row>
    <row r="120" spans="1:10" ht="15.75" customHeight="1" x14ac:dyDescent="0.35">
      <c r="A120" s="1"/>
      <c r="B120" s="281"/>
      <c r="C120" s="139" t="s">
        <v>22</v>
      </c>
      <c r="D120" s="140">
        <f>D121+D126+D129</f>
        <v>57110</v>
      </c>
      <c r="E120" s="140">
        <f>E121+E126+E129</f>
        <v>57110</v>
      </c>
      <c r="F120" s="91">
        <f>F121+F126+F129</f>
        <v>495.73928999999987</v>
      </c>
      <c r="G120" s="91">
        <f t="shared" ref="G120" si="12">G121+G126+G129</f>
        <v>20717.079850000013</v>
      </c>
      <c r="H120" s="91">
        <f>H121+H126+H129</f>
        <v>36392.920149999991</v>
      </c>
      <c r="I120" s="91">
        <f>I121+I126+I129</f>
        <v>34356.421319999987</v>
      </c>
      <c r="J120" s="117"/>
    </row>
    <row r="121" spans="1:10" ht="14.15" customHeight="1" x14ac:dyDescent="0.3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43182</v>
      </c>
      <c r="F121" s="121">
        <f>F122+F123+F124+F125</f>
        <v>396.79805999999996</v>
      </c>
      <c r="G121" s="121">
        <f>G122+G123+G125+G124</f>
        <v>15726.490420000013</v>
      </c>
      <c r="H121" s="121">
        <f>H122+H123+H124+H125</f>
        <v>27455.509579999987</v>
      </c>
      <c r="I121" s="121">
        <f>I122+I123+I124+I125</f>
        <v>25597.110109999998</v>
      </c>
      <c r="J121" s="305"/>
    </row>
    <row r="122" spans="1:10" ht="14.15" customHeight="1" x14ac:dyDescent="0.35">
      <c r="A122" s="192"/>
      <c r="B122" s="122"/>
      <c r="C122" s="60" t="s">
        <v>24</v>
      </c>
      <c r="D122" s="61">
        <v>11476</v>
      </c>
      <c r="E122" s="61">
        <v>11476</v>
      </c>
      <c r="F122" s="123">
        <f>90.34673</f>
        <v>90.346729999999994</v>
      </c>
      <c r="G122" s="123">
        <f>4350.47075</f>
        <v>4350.4707500000004</v>
      </c>
      <c r="H122" s="123">
        <f>E122-G122</f>
        <v>7125.5292499999996</v>
      </c>
      <c r="I122" s="123">
        <f>5730.00788000001</f>
        <v>5730.0078800000101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11835</v>
      </c>
      <c r="E123" s="61">
        <v>11835</v>
      </c>
      <c r="F123" s="123">
        <f>28.69033</f>
        <v>28.690329999999999</v>
      </c>
      <c r="G123" s="123">
        <f>4734.48905000001</f>
        <v>4734.4890500000101</v>
      </c>
      <c r="H123" s="123">
        <f>E123-G123</f>
        <v>7100.5109499999899</v>
      </c>
      <c r="I123" s="123">
        <f>7608.79428999999</f>
        <v>7608.7942899999898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10473</v>
      </c>
      <c r="E124" s="61">
        <v>10473</v>
      </c>
      <c r="F124" s="123">
        <f>101.5798</f>
        <v>101.57980000000001</v>
      </c>
      <c r="G124" s="123">
        <f>3502.16672-21.8318</f>
        <v>3480.3349200000002</v>
      </c>
      <c r="H124" s="123">
        <f>E124-G124</f>
        <v>6992.6650799999998</v>
      </c>
      <c r="I124" s="123">
        <f>5879.77309</f>
        <v>5879.7730899999997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9398</v>
      </c>
      <c r="E125" s="61">
        <v>9398</v>
      </c>
      <c r="F125" s="123">
        <f>176.1812</f>
        <v>176.18119999999999</v>
      </c>
      <c r="G125" s="123">
        <f>3616.1046-454.9089</f>
        <v>3161.1957000000002</v>
      </c>
      <c r="H125" s="123">
        <f>E125-G125</f>
        <v>6236.8042999999998</v>
      </c>
      <c r="I125" s="123">
        <f>6378.53485</f>
        <v>6378.53485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6128</v>
      </c>
      <c r="E126" s="55">
        <f>E127+E128</f>
        <v>6128</v>
      </c>
      <c r="F126" s="129">
        <f>SUM(F127:F128)</f>
        <v>2.6162999999999998</v>
      </c>
      <c r="G126" s="129">
        <f>SUM(G127:G128)</f>
        <v>1874.4579900000001</v>
      </c>
      <c r="H126" s="129">
        <f>H127+H128</f>
        <v>4253.5420100000001</v>
      </c>
      <c r="I126" s="129">
        <f>SUM(I127:I128)</f>
        <v>5814.9104699999998</v>
      </c>
      <c r="J126" s="130"/>
    </row>
    <row r="127" spans="1:10" ht="14.15" customHeight="1" x14ac:dyDescent="0.35">
      <c r="A127" s="1"/>
      <c r="B127" s="281"/>
      <c r="C127" s="60" t="s">
        <v>62</v>
      </c>
      <c r="D127" s="61">
        <v>5628</v>
      </c>
      <c r="E127" s="61">
        <v>5628</v>
      </c>
      <c r="F127" s="123">
        <f>0</f>
        <v>0</v>
      </c>
      <c r="G127" s="123">
        <f>1700.11562</f>
        <v>1700.11562</v>
      </c>
      <c r="H127" s="123">
        <f t="shared" ref="H127:H135" si="13">E127-G127</f>
        <v>3927.88438</v>
      </c>
      <c r="I127" s="123">
        <f>5690.51095</f>
        <v>5690.5109499999999</v>
      </c>
      <c r="J127" s="117"/>
    </row>
    <row r="128" spans="1:10" ht="15" customHeight="1" x14ac:dyDescent="0.35">
      <c r="A128" s="1"/>
      <c r="B128" s="51"/>
      <c r="C128" s="60" t="s">
        <v>63</v>
      </c>
      <c r="D128" s="61">
        <v>500</v>
      </c>
      <c r="E128" s="61">
        <v>500</v>
      </c>
      <c r="F128" s="123">
        <f>2.6163</f>
        <v>2.6162999999999998</v>
      </c>
      <c r="G128" s="123">
        <f>174.34237</f>
        <v>174.34236999999999</v>
      </c>
      <c r="H128" s="123">
        <f t="shared" si="13"/>
        <v>325.65763000000004</v>
      </c>
      <c r="I128" s="123">
        <f>124.39952</f>
        <v>124.39952</v>
      </c>
      <c r="J128" s="131"/>
    </row>
    <row r="129" spans="1:10" ht="15.75" customHeight="1" x14ac:dyDescent="0.35">
      <c r="A129" s="1"/>
      <c r="B129" s="281"/>
      <c r="C129" s="37" t="s">
        <v>11</v>
      </c>
      <c r="D129" s="59">
        <v>7800</v>
      </c>
      <c r="E129" s="59">
        <v>7800</v>
      </c>
      <c r="F129" s="72">
        <f>96.3249299999999</f>
        <v>96.324929999999895</v>
      </c>
      <c r="G129" s="72">
        <f>3116.13144</f>
        <v>3116.1314400000001</v>
      </c>
      <c r="H129" s="72">
        <f t="shared" si="13"/>
        <v>4683.8685599999999</v>
      </c>
      <c r="I129" s="72">
        <f>2944.40073999999</f>
        <v>2944.40073999999</v>
      </c>
      <c r="J129" s="117"/>
    </row>
    <row r="130" spans="1:10" ht="15.75" customHeight="1" x14ac:dyDescent="0.35">
      <c r="A130" s="1"/>
      <c r="B130" s="281"/>
      <c r="C130" s="139" t="s">
        <v>33</v>
      </c>
      <c r="D130" s="140">
        <v>156</v>
      </c>
      <c r="E130" s="140">
        <v>156</v>
      </c>
      <c r="F130" s="136">
        <f>0.0027</f>
        <v>2.7000000000000001E-3</v>
      </c>
      <c r="G130" s="136">
        <f>13.02058</f>
        <v>13.020580000000001</v>
      </c>
      <c r="H130" s="136">
        <f t="shared" si="13"/>
        <v>142.97942</v>
      </c>
      <c r="I130" s="136">
        <f>15.5505</f>
        <v>15.5505</v>
      </c>
      <c r="J130" s="117"/>
    </row>
    <row r="131" spans="1:10" ht="15.75" customHeight="1" x14ac:dyDescent="0.35">
      <c r="A131" s="1"/>
      <c r="B131" s="281"/>
      <c r="C131" s="137" t="s">
        <v>64</v>
      </c>
      <c r="D131" s="86">
        <v>350</v>
      </c>
      <c r="E131" s="86">
        <v>350</v>
      </c>
      <c r="F131" s="95">
        <f>0</f>
        <v>0</v>
      </c>
      <c r="G131" s="95">
        <f>12.58</f>
        <v>12.58</v>
      </c>
      <c r="H131" s="95">
        <f t="shared" si="13"/>
        <v>337.42</v>
      </c>
      <c r="I131" s="95">
        <f>322.569</f>
        <v>322.56900000000002</v>
      </c>
      <c r="J131" s="117"/>
    </row>
    <row r="132" spans="1:10" ht="18" customHeight="1" x14ac:dyDescent="0.35">
      <c r="A132" s="1"/>
      <c r="B132" s="281"/>
      <c r="C132" s="137" t="s">
        <v>65</v>
      </c>
      <c r="D132" s="140">
        <v>2000</v>
      </c>
      <c r="E132" s="140">
        <v>2000</v>
      </c>
      <c r="F132" s="136">
        <f>6.36329</f>
        <v>6.3632900000000001</v>
      </c>
      <c r="G132" s="136">
        <f>E132</f>
        <v>2000</v>
      </c>
      <c r="H132" s="136">
        <f t="shared" si="13"/>
        <v>0</v>
      </c>
      <c r="I132" s="136">
        <f>E132</f>
        <v>2000</v>
      </c>
      <c r="J132" s="271"/>
    </row>
    <row r="133" spans="1:10" ht="15.75" customHeight="1" x14ac:dyDescent="0.3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35">
      <c r="A134" s="1"/>
      <c r="B134" s="281"/>
      <c r="C134" s="139" t="s">
        <v>66</v>
      </c>
      <c r="D134" s="140">
        <v>255</v>
      </c>
      <c r="E134" s="140">
        <v>255</v>
      </c>
      <c r="F134" s="95">
        <f>0.00505</f>
        <v>5.0499999999999998E-3</v>
      </c>
      <c r="G134" s="95">
        <f>4.78113</f>
        <v>4.7811300000000001</v>
      </c>
      <c r="H134" s="136">
        <f t="shared" si="13"/>
        <v>250.21887000000001</v>
      </c>
      <c r="I134" s="95">
        <f>81.80195</f>
        <v>81.801950000000005</v>
      </c>
      <c r="J134" s="117"/>
    </row>
    <row r="135" spans="1:10" ht="15" customHeight="1" x14ac:dyDescent="0.35">
      <c r="A135" s="1"/>
      <c r="B135" s="281"/>
      <c r="C135" s="139" t="s">
        <v>38</v>
      </c>
      <c r="D135" s="142"/>
      <c r="E135" s="140"/>
      <c r="F135" s="136">
        <f>0.01485</f>
        <v>1.485E-2</v>
      </c>
      <c r="G135" s="136">
        <f>64.6026</f>
        <v>64.602599999999995</v>
      </c>
      <c r="H135" s="136">
        <f t="shared" si="13"/>
        <v>-64.602599999999995</v>
      </c>
      <c r="I135" s="136">
        <f>74.77726</f>
        <v>74.777259999999998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4">D115+D119+D120+D130+D131+D132+D133+D134+D135</f>
        <v>150770</v>
      </c>
      <c r="E137" s="73">
        <f t="shared" si="14"/>
        <v>150770</v>
      </c>
      <c r="F137" s="73">
        <f>F115+F119+F120+F130+F131+F132+F133+F134+F135</f>
        <v>1669.8310299999998</v>
      </c>
      <c r="G137" s="73">
        <f>G115+G119+G120+G130+G131+G132+G133+G134+G135</f>
        <v>47014.857660000009</v>
      </c>
      <c r="H137" s="73">
        <f>H115+H119+H120+H130+H131+H132+H133+H134+H135</f>
        <v>103755.14233999999</v>
      </c>
      <c r="I137" s="73">
        <f>I115+I119+I120+I130+I131+I132+I133+I134+I135</f>
        <v>78218.996119999982</v>
      </c>
      <c r="J137" s="155"/>
    </row>
    <row r="138" spans="1:10" ht="14.25" customHeight="1" x14ac:dyDescent="0.3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156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35">
      <c r="A140" s="152"/>
      <c r="B140" s="50"/>
      <c r="C140" s="156" t="s">
        <v>165</v>
      </c>
      <c r="D140" s="116"/>
      <c r="E140" s="116"/>
      <c r="F140" s="116"/>
      <c r="G140" s="116"/>
      <c r="H140" s="159"/>
      <c r="I140" s="152"/>
      <c r="J140" s="305"/>
    </row>
    <row r="141" spans="1:10" ht="14.25" customHeight="1" x14ac:dyDescent="0.3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3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35">
      <c r="A143" s="152"/>
      <c r="B143" s="50"/>
      <c r="C143" s="74" t="s">
        <v>146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5" customHeight="1" x14ac:dyDescent="0.3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5" customHeight="1" x14ac:dyDescent="0.3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5" customHeight="1" x14ac:dyDescent="0.3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5" customHeight="1" x14ac:dyDescent="0.3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5" customHeight="1" x14ac:dyDescent="0.3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3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3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5"/>
    </row>
    <row r="160" spans="1:10" ht="14.15" customHeight="1" x14ac:dyDescent="0.35">
      <c r="A160" s="1"/>
      <c r="B160" s="281"/>
      <c r="C160" s="138" t="s">
        <v>70</v>
      </c>
      <c r="D160" s="91">
        <v>3754</v>
      </c>
      <c r="E160" s="301">
        <f>20.68099</f>
        <v>20.680990000000001</v>
      </c>
      <c r="F160" s="301">
        <f>621.198859999999</f>
        <v>621.19885999999894</v>
      </c>
      <c r="G160" s="42">
        <f>D160-F160-F161</f>
        <v>2365.3116100000011</v>
      </c>
      <c r="H160" s="301">
        <f>439.77127</f>
        <v>439.77127000000002</v>
      </c>
      <c r="I160" s="1"/>
      <c r="J160" s="117"/>
    </row>
    <row r="161" spans="1:10" ht="14.15" customHeight="1" x14ac:dyDescent="0.35">
      <c r="A161" s="1"/>
      <c r="B161" s="281"/>
      <c r="C161" s="133" t="s">
        <v>50</v>
      </c>
      <c r="D161" s="175"/>
      <c r="E161" s="148">
        <f>23.63146</f>
        <v>23.631460000000001</v>
      </c>
      <c r="F161" s="148">
        <f>767.48953</f>
        <v>767.48952999999995</v>
      </c>
      <c r="G161" s="219"/>
      <c r="H161" s="148">
        <f>747.97732</f>
        <v>747.97731999999996</v>
      </c>
      <c r="I161" s="1"/>
      <c r="J161" s="117"/>
    </row>
    <row r="162" spans="1:10" ht="15.65" customHeight="1" x14ac:dyDescent="0.35">
      <c r="A162" s="1"/>
      <c r="B162" s="281"/>
      <c r="C162" s="163" t="s">
        <v>71</v>
      </c>
      <c r="D162" s="95">
        <v>200</v>
      </c>
      <c r="E162" s="166">
        <f>0.50224</f>
        <v>0.50224000000000002</v>
      </c>
      <c r="F162" s="166">
        <f>54.39313</f>
        <v>54.393129999999999</v>
      </c>
      <c r="G162" s="166">
        <f>D162-F162</f>
        <v>145.60687000000001</v>
      </c>
      <c r="H162" s="166">
        <f>51.71089</f>
        <v>51.710889999999999</v>
      </c>
      <c r="I162" s="1"/>
      <c r="J162" s="117"/>
    </row>
    <row r="163" spans="1:10" ht="14.15" customHeight="1" x14ac:dyDescent="0.35">
      <c r="A163" s="65"/>
      <c r="B163" s="75"/>
      <c r="C163" s="174" t="s">
        <v>72</v>
      </c>
      <c r="D163" s="175">
        <v>5630</v>
      </c>
      <c r="E163" s="175">
        <f>E164+E165+E166</f>
        <v>1778.7722799999999</v>
      </c>
      <c r="F163" s="175">
        <f>F164+F165+F166</f>
        <v>1934.2226400000002</v>
      </c>
      <c r="G163" s="175">
        <f>D163-F163</f>
        <v>3695.77736</v>
      </c>
      <c r="H163" s="175">
        <f>H164+H165+H166</f>
        <v>2013.9204</v>
      </c>
      <c r="I163" s="65"/>
      <c r="J163" s="111"/>
    </row>
    <row r="164" spans="1:10" ht="14.15" customHeight="1" x14ac:dyDescent="0.35">
      <c r="A164" s="192"/>
      <c r="B164" s="176"/>
      <c r="C164" s="177" t="s">
        <v>73</v>
      </c>
      <c r="D164" s="123"/>
      <c r="E164" s="123">
        <f>921.87356</f>
        <v>921.87356</v>
      </c>
      <c r="F164" s="123">
        <f>979.5288</f>
        <v>979.52880000000005</v>
      </c>
      <c r="G164" s="123"/>
      <c r="H164" s="123">
        <f>841.19406</f>
        <v>841.19406000000004</v>
      </c>
      <c r="I164" s="181"/>
      <c r="J164" s="126"/>
    </row>
    <row r="165" spans="1:10" ht="14.15" customHeight="1" x14ac:dyDescent="0.35">
      <c r="A165" s="192"/>
      <c r="B165" s="176"/>
      <c r="C165" s="177" t="s">
        <v>74</v>
      </c>
      <c r="D165" s="123"/>
      <c r="E165" s="123">
        <f>628.49862</f>
        <v>628.49861999999996</v>
      </c>
      <c r="F165" s="123">
        <f>689.186</f>
        <v>689.18600000000004</v>
      </c>
      <c r="G165" s="123"/>
      <c r="H165" s="123">
        <f>743.51684</f>
        <v>743.51684</v>
      </c>
      <c r="I165" s="181"/>
      <c r="J165" s="182"/>
    </row>
    <row r="166" spans="1:10" ht="14.15" customHeight="1" x14ac:dyDescent="0.35">
      <c r="A166" s="192"/>
      <c r="B166" s="176"/>
      <c r="C166" s="183" t="s">
        <v>75</v>
      </c>
      <c r="D166" s="186"/>
      <c r="E166" s="186">
        <f>228.4001</f>
        <v>228.40010000000001</v>
      </c>
      <c r="F166" s="186">
        <f>265.50784</f>
        <v>265.50783999999999</v>
      </c>
      <c r="G166" s="186"/>
      <c r="H166" s="186">
        <f>429.2095</f>
        <v>429.20949999999999</v>
      </c>
      <c r="I166" s="181"/>
      <c r="J166" s="182"/>
    </row>
    <row r="167" spans="1:10" ht="14.15" customHeight="1" x14ac:dyDescent="0.35">
      <c r="A167" s="1"/>
      <c r="B167" s="281"/>
      <c r="C167" s="70" t="s">
        <v>76</v>
      </c>
      <c r="D167" s="136">
        <v>91</v>
      </c>
      <c r="E167" s="136">
        <f>0</f>
        <v>0</v>
      </c>
      <c r="F167" s="136">
        <f>8.70186</f>
        <v>8.7018599999999999</v>
      </c>
      <c r="G167" s="136">
        <f>D167-F167</f>
        <v>82.298140000000004</v>
      </c>
      <c r="H167" s="136">
        <f>5.3531</f>
        <v>5.3531000000000004</v>
      </c>
      <c r="I167" s="173"/>
      <c r="J167" s="271"/>
    </row>
    <row r="168" spans="1:10" ht="16.5" customHeight="1" x14ac:dyDescent="0.3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1823.5869699999998</v>
      </c>
      <c r="F169" s="188">
        <f>F160+F161+F162+F163+F167+F168</f>
        <v>3386.0060199999989</v>
      </c>
      <c r="G169" s="188">
        <f>D169-F169</f>
        <v>6288.9939800000011</v>
      </c>
      <c r="H169" s="188">
        <f>H160+H161+H162+H163+H167+H168</f>
        <v>3258.7329799999998</v>
      </c>
      <c r="I169" s="159"/>
      <c r="J169" s="155"/>
    </row>
    <row r="170" spans="1:10" ht="42" customHeight="1" x14ac:dyDescent="0.35">
      <c r="A170" s="1"/>
      <c r="B170" s="193"/>
      <c r="C170" s="254" t="s">
        <v>147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3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3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81"/>
      <c r="C182" s="101" t="s">
        <v>148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81"/>
      <c r="C183" s="101" t="s">
        <v>149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81"/>
      <c r="C184" s="101" t="s">
        <v>150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3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35">
      <c r="A189" s="1"/>
      <c r="B189" s="281"/>
      <c r="C189" s="90" t="s">
        <v>4</v>
      </c>
      <c r="D189" s="124">
        <v>45561</v>
      </c>
      <c r="E189" s="124">
        <v>42740</v>
      </c>
      <c r="F189" s="124">
        <f>3351.50013</f>
        <v>3351.5001299999999</v>
      </c>
      <c r="G189" s="124">
        <f>22216.65201</f>
        <v>22216.652010000002</v>
      </c>
      <c r="H189" s="124">
        <f>E189-G189</f>
        <v>20523.347989999998</v>
      </c>
      <c r="I189" s="124">
        <f>24012.4782</f>
        <v>24012.478200000001</v>
      </c>
      <c r="J189" s="117"/>
    </row>
    <row r="190" spans="1:10" ht="15" customHeight="1" x14ac:dyDescent="0.35">
      <c r="A190" s="1"/>
      <c r="B190" s="281"/>
      <c r="C190" s="90" t="s">
        <v>63</v>
      </c>
      <c r="D190" s="124">
        <v>100</v>
      </c>
      <c r="E190" s="124">
        <v>100</v>
      </c>
      <c r="F190" s="124">
        <f>0.1485</f>
        <v>0.14849999999999999</v>
      </c>
      <c r="G190" s="124">
        <f>13.22076</f>
        <v>13.22076</v>
      </c>
      <c r="H190" s="124">
        <f>E190-G190</f>
        <v>86.779240000000001</v>
      </c>
      <c r="I190" s="124">
        <f>18.71786</f>
        <v>18.717860000000002</v>
      </c>
      <c r="J190" s="117"/>
    </row>
    <row r="191" spans="1:10" ht="15.75" customHeight="1" x14ac:dyDescent="0.35">
      <c r="A191" s="1"/>
      <c r="B191" s="281"/>
      <c r="C191" s="146" t="s">
        <v>76</v>
      </c>
      <c r="D191" s="168">
        <v>46</v>
      </c>
      <c r="E191" s="168">
        <v>46</v>
      </c>
      <c r="F191" s="136">
        <f>0</f>
        <v>0</v>
      </c>
      <c r="G191" s="136">
        <f>0</f>
        <v>0</v>
      </c>
      <c r="H191" s="136">
        <f>E191-G191</f>
        <v>46</v>
      </c>
      <c r="I191" s="136">
        <f>0</f>
        <v>0</v>
      </c>
      <c r="J191" s="117"/>
    </row>
    <row r="192" spans="1:10" ht="16.5" customHeight="1" x14ac:dyDescent="0.35">
      <c r="A192" s="1"/>
      <c r="B192" s="281"/>
      <c r="C192" s="179" t="s">
        <v>82</v>
      </c>
      <c r="D192" s="190">
        <f>SUM(D189:D191)</f>
        <v>45707</v>
      </c>
      <c r="E192" s="190">
        <f>SUM(E189:E191)</f>
        <v>42886</v>
      </c>
      <c r="F192" s="190">
        <f>SUM(F189:F191)</f>
        <v>3351.6486299999997</v>
      </c>
      <c r="G192" s="190">
        <f>SUM(G189:G191)</f>
        <v>22229.872770000002</v>
      </c>
      <c r="H192" s="190">
        <f>E192-G192</f>
        <v>20656.127229999998</v>
      </c>
      <c r="I192" s="190">
        <f>SUM(I189:I191)</f>
        <v>24031.196060000002</v>
      </c>
      <c r="J192" s="117"/>
    </row>
    <row r="193" spans="1:10" ht="12" customHeight="1" x14ac:dyDescent="0.3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243" t="s">
        <v>151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3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81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35">
      <c r="A202" s="1"/>
      <c r="B202" s="281"/>
      <c r="C202" s="90" t="s">
        <v>112</v>
      </c>
      <c r="D202" s="124">
        <v>3202</v>
      </c>
      <c r="E202" s="72">
        <f>E203+E204</f>
        <v>48.072980000000001</v>
      </c>
      <c r="F202" s="72">
        <f>F203+F204</f>
        <v>2627.866399999999</v>
      </c>
      <c r="G202" s="72">
        <f>D202-F202</f>
        <v>574.13360000000102</v>
      </c>
      <c r="H202" s="72">
        <f>H203+H204</f>
        <v>2522.5745499999998</v>
      </c>
      <c r="I202" s="275"/>
      <c r="J202" s="117"/>
    </row>
    <row r="203" spans="1:10" ht="15" customHeight="1" x14ac:dyDescent="0.35">
      <c r="A203" s="1"/>
      <c r="B203" s="281"/>
      <c r="C203" s="172" t="s">
        <v>8</v>
      </c>
      <c r="D203" s="124"/>
      <c r="E203" s="72">
        <f>45.0366</f>
        <v>45.0366</v>
      </c>
      <c r="F203" s="72">
        <f>2097.02622</f>
        <v>2097.0262200000002</v>
      </c>
      <c r="G203" s="72"/>
      <c r="H203" s="72">
        <f>2010.7495</f>
        <v>2010.7494999999999</v>
      </c>
      <c r="I203" s="275"/>
      <c r="J203" s="117"/>
    </row>
    <row r="204" spans="1:10" ht="15" customHeight="1" x14ac:dyDescent="0.35">
      <c r="A204" s="1"/>
      <c r="B204" s="281"/>
      <c r="C204" s="172" t="s">
        <v>63</v>
      </c>
      <c r="D204" s="124"/>
      <c r="E204" s="124">
        <f>3.03638</f>
        <v>3.0363799999999999</v>
      </c>
      <c r="F204" s="124">
        <f>530.840179999999</f>
        <v>530.84017999999901</v>
      </c>
      <c r="G204" s="168"/>
      <c r="H204" s="124">
        <f>511.82505</f>
        <v>511.82504999999998</v>
      </c>
      <c r="I204" s="275"/>
      <c r="J204" s="117"/>
    </row>
    <row r="205" spans="1:10" ht="15" customHeight="1" x14ac:dyDescent="0.35">
      <c r="A205" s="1"/>
      <c r="B205" s="281"/>
      <c r="C205" s="90" t="s">
        <v>113</v>
      </c>
      <c r="D205" s="124">
        <v>3704</v>
      </c>
      <c r="E205" s="72">
        <f>81.76778</f>
        <v>81.767780000000002</v>
      </c>
      <c r="F205" s="72">
        <f>2464.92052</f>
        <v>2464.9205200000001</v>
      </c>
      <c r="G205" s="72">
        <f>D205-F205</f>
        <v>1239.0794799999999</v>
      </c>
      <c r="H205" s="72">
        <f>3606.84169</f>
        <v>3606.8416900000002</v>
      </c>
      <c r="I205" s="275"/>
      <c r="J205" s="117"/>
    </row>
    <row r="206" spans="1:10" ht="16.5" customHeight="1" x14ac:dyDescent="0.35">
      <c r="A206" s="1"/>
      <c r="B206" s="281"/>
      <c r="C206" s="179" t="s">
        <v>82</v>
      </c>
      <c r="D206" s="190">
        <f>D205+D202</f>
        <v>6906</v>
      </c>
      <c r="E206" s="190">
        <f>SUM(E202,E205)</f>
        <v>129.84075999999999</v>
      </c>
      <c r="F206" s="190">
        <f>SUM(F202,F205)</f>
        <v>5092.7869199999986</v>
      </c>
      <c r="G206" s="190">
        <f>D206-F206</f>
        <v>1813.2130800000014</v>
      </c>
      <c r="H206" s="190">
        <f>SUM(H202,H205)</f>
        <v>6129.4162400000005</v>
      </c>
      <c r="I206" s="275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3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81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35">
      <c r="A215" s="1"/>
      <c r="B215" s="281"/>
      <c r="C215" s="90" t="s">
        <v>112</v>
      </c>
      <c r="D215" s="124">
        <v>5516</v>
      </c>
      <c r="E215" s="72">
        <f>E216+E217</f>
        <v>199.4675</v>
      </c>
      <c r="F215" s="72">
        <f>F216+F217</f>
        <v>4281.1358699999992</v>
      </c>
      <c r="G215" s="72">
        <f>D215-F215</f>
        <v>1234.8641300000008</v>
      </c>
      <c r="H215" s="72">
        <f>H216+H217</f>
        <v>2431.72577</v>
      </c>
      <c r="I215" s="275"/>
      <c r="J215" s="117"/>
    </row>
    <row r="216" spans="1:10" ht="15" customHeight="1" x14ac:dyDescent="0.35">
      <c r="A216" s="1"/>
      <c r="B216" s="281"/>
      <c r="C216" s="172" t="s">
        <v>8</v>
      </c>
      <c r="D216" s="124"/>
      <c r="E216" s="72">
        <f>197.5806</f>
        <v>197.5806</v>
      </c>
      <c r="F216" s="72">
        <f>3946.61472</f>
        <v>3946.61472</v>
      </c>
      <c r="G216" s="72"/>
      <c r="H216" s="72">
        <f>2154.83328</f>
        <v>2154.8332799999998</v>
      </c>
      <c r="I216" s="275"/>
      <c r="J216" s="117"/>
    </row>
    <row r="217" spans="1:10" ht="15" customHeight="1" x14ac:dyDescent="0.35">
      <c r="A217" s="1"/>
      <c r="B217" s="281"/>
      <c r="C217" s="172" t="s">
        <v>63</v>
      </c>
      <c r="D217" s="124"/>
      <c r="E217" s="124">
        <f>1.8869</f>
        <v>1.8869</v>
      </c>
      <c r="F217" s="124">
        <f>334.521149999999</f>
        <v>334.52114999999901</v>
      </c>
      <c r="G217" s="168"/>
      <c r="H217" s="124">
        <f>276.89249</f>
        <v>276.89249000000001</v>
      </c>
      <c r="I217" s="275"/>
      <c r="J217" s="117"/>
    </row>
    <row r="218" spans="1:10" ht="15" customHeight="1" x14ac:dyDescent="0.35">
      <c r="A218" s="1"/>
      <c r="B218" s="281"/>
      <c r="C218" s="90" t="s">
        <v>113</v>
      </c>
      <c r="D218" s="124">
        <v>3232</v>
      </c>
      <c r="E218" s="72">
        <f>65.23296</f>
        <v>65.232960000000006</v>
      </c>
      <c r="F218" s="72">
        <f>1955.23181</f>
        <v>1955.23181</v>
      </c>
      <c r="G218" s="72">
        <f>D218-F218</f>
        <v>1276.76819</v>
      </c>
      <c r="H218" s="72">
        <f>1464.20571000001</f>
        <v>1464.20571000001</v>
      </c>
      <c r="I218" s="275"/>
      <c r="J218" s="117"/>
    </row>
    <row r="219" spans="1:10" ht="16.5" customHeight="1" x14ac:dyDescent="0.35">
      <c r="A219" s="1"/>
      <c r="B219" s="281"/>
      <c r="C219" s="179" t="s">
        <v>82</v>
      </c>
      <c r="D219" s="190">
        <f>D218+D215</f>
        <v>8748</v>
      </c>
      <c r="E219" s="190">
        <f>SUM(E215,E218)</f>
        <v>264.70046000000002</v>
      </c>
      <c r="F219" s="190">
        <f>SUM(F215,F218)</f>
        <v>6236.3676799999994</v>
      </c>
      <c r="G219" s="190">
        <f>D219-F219</f>
        <v>2511.6323200000006</v>
      </c>
      <c r="H219" s="190">
        <f>SUM(H215,H218)</f>
        <v>3895.9314800000102</v>
      </c>
      <c r="I219" s="275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75" customHeight="1" x14ac:dyDescent="0.3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81"/>
      <c r="C226" s="285" t="s">
        <v>79</v>
      </c>
      <c r="D226" s="245">
        <v>1516</v>
      </c>
      <c r="E226" s="145"/>
      <c r="F226" s="252"/>
      <c r="G226" s="1"/>
      <c r="H226" s="1"/>
      <c r="I226" s="1"/>
      <c r="J226" s="117"/>
    </row>
    <row r="227" spans="1:10" ht="14.15" customHeight="1" x14ac:dyDescent="0.35">
      <c r="A227" s="1"/>
      <c r="B227" s="281"/>
      <c r="C227" s="275" t="s">
        <v>85</v>
      </c>
      <c r="D227" s="245">
        <v>5282</v>
      </c>
      <c r="E227" s="145"/>
      <c r="F227" s="252"/>
      <c r="G227" s="1"/>
      <c r="H227" s="1"/>
      <c r="I227" s="1"/>
      <c r="J227" s="117"/>
    </row>
    <row r="228" spans="1:10" ht="14.15" customHeight="1" x14ac:dyDescent="0.35">
      <c r="A228" s="1"/>
      <c r="B228" s="281"/>
      <c r="C228" s="275" t="s">
        <v>86</v>
      </c>
      <c r="D228" s="245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35">
      <c r="A229" s="1"/>
      <c r="B229" s="281"/>
      <c r="C229" s="275" t="s">
        <v>114</v>
      </c>
      <c r="D229" s="246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35">
      <c r="A230" s="1"/>
      <c r="B230" s="281"/>
      <c r="C230" s="57" t="s">
        <v>46</v>
      </c>
      <c r="D230" s="247">
        <v>11164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5" customHeight="1" x14ac:dyDescent="0.3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35">
      <c r="A236" s="1"/>
      <c r="B236" s="281"/>
      <c r="C236" s="68" t="s">
        <v>16</v>
      </c>
      <c r="D236" s="270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5" customHeight="1" x14ac:dyDescent="0.35">
      <c r="A237" s="65"/>
      <c r="B237" s="75"/>
      <c r="C237" s="90" t="s">
        <v>88</v>
      </c>
      <c r="D237" s="124">
        <v>800</v>
      </c>
      <c r="E237" s="124">
        <f>1.66498</f>
        <v>1.6649799999999999</v>
      </c>
      <c r="F237" s="124">
        <f>80.12141</f>
        <v>80.121409999999997</v>
      </c>
      <c r="G237" s="124">
        <f>D237-F237</f>
        <v>719.87859000000003</v>
      </c>
      <c r="H237" s="124">
        <f>214.90391</f>
        <v>214.90391</v>
      </c>
      <c r="I237" s="65"/>
      <c r="J237" s="271"/>
    </row>
    <row r="238" spans="1:10" ht="14.15" customHeight="1" x14ac:dyDescent="0.35">
      <c r="A238" s="1"/>
      <c r="B238" s="281"/>
      <c r="C238" s="90" t="s">
        <v>89</v>
      </c>
      <c r="D238" s="273">
        <v>706</v>
      </c>
      <c r="E238" s="124">
        <f>39.58823</f>
        <v>39.588230000000003</v>
      </c>
      <c r="F238" s="124">
        <f>255.071429999999</f>
        <v>255.071429999999</v>
      </c>
      <c r="G238" s="124">
        <f>D238-F238</f>
        <v>450.928570000001</v>
      </c>
      <c r="H238" s="124">
        <f>371.007439999999</f>
        <v>371.00743999999901</v>
      </c>
      <c r="I238" s="173"/>
      <c r="J238" s="111"/>
    </row>
    <row r="239" spans="1:10" ht="16.5" customHeight="1" x14ac:dyDescent="0.35">
      <c r="A239" s="65"/>
      <c r="B239" s="75"/>
      <c r="C239" s="146" t="s">
        <v>76</v>
      </c>
      <c r="D239" s="273">
        <v>10</v>
      </c>
      <c r="E239" s="168">
        <f>0</f>
        <v>0</v>
      </c>
      <c r="F239" s="168">
        <f>0.045</f>
        <v>4.4999999999999998E-2</v>
      </c>
      <c r="G239" s="124">
        <f>D239-F239</f>
        <v>9.9550000000000001</v>
      </c>
      <c r="H239" s="168">
        <f>0.05414</f>
        <v>5.4140000000000001E-2</v>
      </c>
      <c r="I239" s="65"/>
      <c r="J239" s="276"/>
    </row>
    <row r="240" spans="1:10" ht="18.75" customHeight="1" x14ac:dyDescent="0.35">
      <c r="A240" s="65"/>
      <c r="B240" s="277"/>
      <c r="C240" s="146" t="s">
        <v>90</v>
      </c>
      <c r="D240" s="249"/>
      <c r="E240" s="168">
        <f>0.008</f>
        <v>8.0000000000000002E-3</v>
      </c>
      <c r="F240" s="168">
        <f>0.13296</f>
        <v>0.13295999999999999</v>
      </c>
      <c r="G240" s="124">
        <f>D240-F240</f>
        <v>-0.13295999999999999</v>
      </c>
      <c r="H240" s="168">
        <f>1.1914</f>
        <v>1.1914</v>
      </c>
      <c r="I240" s="309"/>
      <c r="J240" s="117"/>
    </row>
    <row r="241" spans="1:10" ht="14.15" customHeight="1" x14ac:dyDescent="0.35">
      <c r="A241" s="1"/>
      <c r="B241" s="281"/>
      <c r="C241" s="179" t="s">
        <v>82</v>
      </c>
      <c r="D241" s="5">
        <f>D226</f>
        <v>1516</v>
      </c>
      <c r="E241" s="190">
        <f>SUM(E237:E240)</f>
        <v>41.261210000000005</v>
      </c>
      <c r="F241" s="190">
        <f>SUM(F237:F240)</f>
        <v>335.37079999999906</v>
      </c>
      <c r="G241" s="190">
        <f>D241-F241</f>
        <v>1180.629200000001</v>
      </c>
      <c r="H241" s="190">
        <f>H237+H238+H239+H240</f>
        <v>587.15688999999895</v>
      </c>
      <c r="I241" s="1"/>
      <c r="J241" s="117"/>
    </row>
    <row r="242" spans="1:10" ht="14.15" customHeight="1" x14ac:dyDescent="0.3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108</v>
      </c>
    </row>
    <row r="245" spans="1:10" ht="14.15" customHeight="1" x14ac:dyDescent="0.35">
      <c r="A245" s="1" t="s">
        <v>108</v>
      </c>
    </row>
    <row r="246" spans="1:10" ht="30" customHeight="1" x14ac:dyDescent="0.5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3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3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3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5" customHeight="1" x14ac:dyDescent="0.3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4" customHeight="1" x14ac:dyDescent="0.3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4" customHeight="1" x14ac:dyDescent="0.3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3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35">
      <c r="B261" s="69"/>
      <c r="C261" s="250" t="s">
        <v>16</v>
      </c>
      <c r="D261" s="259" t="s">
        <v>17</v>
      </c>
      <c r="E261" s="68" t="s">
        <v>121</v>
      </c>
      <c r="F261" s="250" t="s">
        <v>161</v>
      </c>
      <c r="G261" s="250" t="s">
        <v>162</v>
      </c>
      <c r="H261" s="250" t="s">
        <v>163</v>
      </c>
      <c r="I261" s="250" t="s">
        <v>164</v>
      </c>
      <c r="J261" s="127"/>
    </row>
    <row r="262" spans="1:10" ht="14.15" customHeight="1" x14ac:dyDescent="0.3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18840</v>
      </c>
      <c r="F262" s="280">
        <f t="shared" si="15"/>
        <v>19.0594</v>
      </c>
      <c r="G262" s="280">
        <f t="shared" si="15"/>
        <v>1532.2456200000001</v>
      </c>
      <c r="H262" s="280">
        <f>H266+H265+H264+H263</f>
        <v>17307.754379999998</v>
      </c>
      <c r="I262" s="280">
        <f t="shared" si="15"/>
        <v>4014.0313799999999</v>
      </c>
      <c r="J262" s="127"/>
    </row>
    <row r="263" spans="1:10" ht="14.15" customHeight="1" x14ac:dyDescent="0.35">
      <c r="A263" s="223"/>
      <c r="B263" s="69"/>
      <c r="C263" s="282" t="s">
        <v>98</v>
      </c>
      <c r="D263" s="283">
        <v>7457</v>
      </c>
      <c r="E263" s="283">
        <v>10175</v>
      </c>
      <c r="F263" s="284">
        <f>0</f>
        <v>0</v>
      </c>
      <c r="G263" s="284">
        <f>280.28341</f>
        <v>280.28341</v>
      </c>
      <c r="H263" s="284">
        <f t="shared" ref="H263:H268" si="16">E263-G263</f>
        <v>9894.71659</v>
      </c>
      <c r="I263" s="284">
        <f>1322.87063</f>
        <v>1322.8706299999999</v>
      </c>
      <c r="J263" s="127"/>
    </row>
    <row r="264" spans="1:10" ht="14.15" customHeight="1" x14ac:dyDescent="0.35">
      <c r="A264" s="223"/>
      <c r="B264" s="69"/>
      <c r="C264" s="286" t="s">
        <v>21</v>
      </c>
      <c r="D264" s="283">
        <v>1941</v>
      </c>
      <c r="E264" s="283">
        <v>2649</v>
      </c>
      <c r="F264" s="284">
        <f>0</f>
        <v>0</v>
      </c>
      <c r="G264" s="284">
        <f>35.64</f>
        <v>35.64</v>
      </c>
      <c r="H264" s="284">
        <f t="shared" si="16"/>
        <v>2613.36</v>
      </c>
      <c r="I264" s="284">
        <f>399.5217</f>
        <v>399.52170000000001</v>
      </c>
      <c r="J264" s="127"/>
    </row>
    <row r="265" spans="1:10" ht="14.15" customHeight="1" x14ac:dyDescent="0.35">
      <c r="A265" s="223"/>
      <c r="B265" s="69"/>
      <c r="C265" s="286" t="s">
        <v>95</v>
      </c>
      <c r="D265" s="283">
        <v>1338</v>
      </c>
      <c r="E265" s="283">
        <v>1407</v>
      </c>
      <c r="F265" s="284">
        <f>18.5926</f>
        <v>18.592600000000001</v>
      </c>
      <c r="G265" s="284">
        <f>732.43685</f>
        <v>732.43685000000005</v>
      </c>
      <c r="H265" s="284">
        <f t="shared" si="16"/>
        <v>674.56314999999995</v>
      </c>
      <c r="I265" s="284">
        <f>943.63646</f>
        <v>943.63646000000006</v>
      </c>
      <c r="J265" s="127"/>
    </row>
    <row r="266" spans="1:10" ht="14.15" customHeight="1" x14ac:dyDescent="0.35">
      <c r="A266" s="223"/>
      <c r="B266" s="69"/>
      <c r="C266" s="288" t="s">
        <v>118</v>
      </c>
      <c r="D266" s="289">
        <v>4479</v>
      </c>
      <c r="E266" s="289">
        <v>4609</v>
      </c>
      <c r="F266" s="284">
        <f>0.4668</f>
        <v>0.46679999999999999</v>
      </c>
      <c r="G266" s="284">
        <f>483.88536</f>
        <v>483.88535999999999</v>
      </c>
      <c r="H266" s="284">
        <f t="shared" si="16"/>
        <v>4125.1146399999998</v>
      </c>
      <c r="I266" s="284">
        <f>1348.00259</f>
        <v>1348.0025900000001</v>
      </c>
      <c r="J266" s="127"/>
    </row>
    <row r="267" spans="1:10" ht="14.15" customHeight="1" x14ac:dyDescent="0.35">
      <c r="A267" s="223"/>
      <c r="B267" s="69"/>
      <c r="C267" s="291" t="s">
        <v>56</v>
      </c>
      <c r="D267" s="292">
        <v>5500</v>
      </c>
      <c r="E267" s="292">
        <v>5500</v>
      </c>
      <c r="F267" s="294">
        <f>171.135</f>
        <v>171.13499999999999</v>
      </c>
      <c r="G267" s="294">
        <f>1240.162</f>
        <v>1240.162</v>
      </c>
      <c r="H267" s="294">
        <f t="shared" si="16"/>
        <v>4259.8379999999997</v>
      </c>
      <c r="I267" s="294">
        <f>3698.07624</f>
        <v>3698.0762399999999</v>
      </c>
      <c r="J267" s="127"/>
    </row>
    <row r="268" spans="1:10" ht="14.15" customHeight="1" x14ac:dyDescent="0.35">
      <c r="A268" s="223"/>
      <c r="B268" s="69"/>
      <c r="C268" s="274" t="s">
        <v>22</v>
      </c>
      <c r="D268" s="278">
        <v>8000</v>
      </c>
      <c r="E268" s="278">
        <v>8000</v>
      </c>
      <c r="F268" s="295">
        <f>F270+F269</f>
        <v>40.407510000000002</v>
      </c>
      <c r="G268" s="295">
        <f>G270+G269</f>
        <v>1011.564600000001</v>
      </c>
      <c r="H268" s="295">
        <f t="shared" si="16"/>
        <v>6988.4353999999994</v>
      </c>
      <c r="I268" s="295">
        <f>I270+I269</f>
        <v>1216.434420000001</v>
      </c>
      <c r="J268" s="127"/>
    </row>
    <row r="269" spans="1:10" ht="14.15" customHeight="1" x14ac:dyDescent="0.35">
      <c r="A269" s="223"/>
      <c r="B269" s="69"/>
      <c r="C269" s="286" t="s">
        <v>50</v>
      </c>
      <c r="D269" s="297"/>
      <c r="E269" s="283"/>
      <c r="F269" s="284">
        <f>0</f>
        <v>0</v>
      </c>
      <c r="G269" s="284">
        <f>331.80881</f>
        <v>331.80880999999999</v>
      </c>
      <c r="H269" s="284"/>
      <c r="I269" s="284">
        <f>447.82058</f>
        <v>447.82058000000001</v>
      </c>
      <c r="J269" s="127"/>
    </row>
    <row r="270" spans="1:10" ht="14.15" customHeight="1" x14ac:dyDescent="0.35">
      <c r="A270" s="223"/>
      <c r="B270" s="69"/>
      <c r="C270" s="299" t="s">
        <v>99</v>
      </c>
      <c r="D270" s="300"/>
      <c r="E270" s="302"/>
      <c r="F270" s="303">
        <f>40.40751</f>
        <v>40.407510000000002</v>
      </c>
      <c r="G270" s="303">
        <f>679.755790000001</f>
        <v>679.75579000000096</v>
      </c>
      <c r="H270" s="303"/>
      <c r="I270" s="303">
        <f>768.613840000001</f>
        <v>768.61384000000101</v>
      </c>
      <c r="J270" s="127"/>
    </row>
    <row r="271" spans="1:10" ht="14.15" customHeight="1" x14ac:dyDescent="0.35">
      <c r="A271" s="223"/>
      <c r="B271" s="69"/>
      <c r="C271" s="291" t="s">
        <v>33</v>
      </c>
      <c r="D271" s="292">
        <v>13</v>
      </c>
      <c r="E271" s="292">
        <v>13</v>
      </c>
      <c r="F271" s="294">
        <f>0</f>
        <v>0</v>
      </c>
      <c r="G271" s="294">
        <f>0</f>
        <v>0</v>
      </c>
      <c r="H271" s="294">
        <f>E271-G271</f>
        <v>13</v>
      </c>
      <c r="I271" s="294">
        <f>0.5685</f>
        <v>0.56850000000000001</v>
      </c>
      <c r="J271" s="127"/>
    </row>
    <row r="272" spans="1:10" ht="14.15" customHeight="1" x14ac:dyDescent="0.35">
      <c r="A272" s="223"/>
      <c r="B272" s="69"/>
      <c r="C272" s="304" t="s">
        <v>100</v>
      </c>
      <c r="D272" s="307"/>
      <c r="E272" s="308"/>
      <c r="F272" s="294">
        <f>0.24188</f>
        <v>0.24188000000000001</v>
      </c>
      <c r="G272" s="294">
        <f>8.40922</f>
        <v>8.4092199999999995</v>
      </c>
      <c r="H272" s="294">
        <f>E272-G272</f>
        <v>-8.4092199999999995</v>
      </c>
      <c r="I272" s="294">
        <f>8.153</f>
        <v>8.1530000000000005</v>
      </c>
      <c r="J272" s="127"/>
    </row>
    <row r="273" spans="1:10" ht="19.5" customHeight="1" x14ac:dyDescent="0.3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32353</v>
      </c>
      <c r="F273" s="312">
        <f t="shared" ref="F273:I273" si="17">F262+F267+F268+F271+F272</f>
        <v>230.84379000000001</v>
      </c>
      <c r="G273" s="312">
        <f t="shared" si="17"/>
        <v>3792.381440000001</v>
      </c>
      <c r="H273" s="312">
        <f>H262+H267+H268+H271+H272</f>
        <v>28560.618559999995</v>
      </c>
      <c r="I273" s="312">
        <f t="shared" si="17"/>
        <v>8937.2635399999999</v>
      </c>
      <c r="J273" s="127"/>
    </row>
    <row r="274" spans="1:10" ht="14.15" customHeight="1" x14ac:dyDescent="0.3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152</v>
      </c>
      <c r="D275" s="314"/>
      <c r="E275" s="314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153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108</v>
      </c>
      <c r="D279" s="152"/>
    </row>
    <row r="280" spans="1:10" ht="14.15" customHeight="1" x14ac:dyDescent="0.3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5" customHeight="1" x14ac:dyDescent="0.3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5" t="s">
        <v>6</v>
      </c>
      <c r="D284" s="296">
        <v>2363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0" t="s">
        <v>116</v>
      </c>
      <c r="D288" s="320"/>
      <c r="E288" s="320"/>
      <c r="F288" s="320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35">
      <c r="A293" s="223"/>
      <c r="B293" s="193"/>
      <c r="C293" s="19" t="s">
        <v>103</v>
      </c>
      <c r="D293" s="21" t="s">
        <v>104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51"/>
      <c r="J293" s="13"/>
    </row>
    <row r="294" spans="1:10" ht="14.15" customHeight="1" x14ac:dyDescent="0.3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928.56393000000003</v>
      </c>
      <c r="G294" s="82">
        <f>D294-F294</f>
        <v>-149.56393000000003</v>
      </c>
      <c r="H294" s="25">
        <f>SUM(H295:H296)</f>
        <v>1023.43038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0</f>
        <v>0</v>
      </c>
      <c r="F295" s="198">
        <f>687.65275</f>
        <v>687.65274999999997</v>
      </c>
      <c r="G295" s="199"/>
      <c r="H295" s="198">
        <f>779.14308</f>
        <v>779.14308000000005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244.2873</f>
        <v>244.28729999999999</v>
      </c>
      <c r="I296" s="145"/>
      <c r="J296" s="127"/>
    </row>
    <row r="297" spans="1:10" ht="14.15" customHeight="1" x14ac:dyDescent="0.35">
      <c r="A297" s="223"/>
      <c r="B297" s="69"/>
      <c r="C297" s="291" t="s">
        <v>106</v>
      </c>
      <c r="D297" s="9">
        <v>779</v>
      </c>
      <c r="E297" s="25">
        <f>SUM(E298:E299)</f>
        <v>0</v>
      </c>
      <c r="F297" s="25">
        <f>SUM(F298:F299)</f>
        <v>646.33609999999999</v>
      </c>
      <c r="G297" s="82">
        <f>D297-F297</f>
        <v>132.66390000000001</v>
      </c>
      <c r="H297" s="25">
        <f>SUM(H298:H299)</f>
        <v>991.08674999999994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0</f>
        <v>0</v>
      </c>
      <c r="F298" s="29">
        <f>507.208</f>
        <v>507.20800000000003</v>
      </c>
      <c r="G298" s="94"/>
      <c r="H298" s="29">
        <f>767.36623</f>
        <v>767.36622999999997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8"/>
      <c r="E299" s="29">
        <f>0</f>
        <v>0</v>
      </c>
      <c r="F299" s="29">
        <f>139.1281</f>
        <v>139.12809999999999</v>
      </c>
      <c r="G299" s="105"/>
      <c r="H299" s="29">
        <f>223.72052</f>
        <v>223.72051999999999</v>
      </c>
      <c r="I299" s="145"/>
      <c r="J299" s="127"/>
    </row>
    <row r="300" spans="1:10" ht="14.15" customHeight="1" x14ac:dyDescent="0.35">
      <c r="A300" s="223"/>
      <c r="B300" s="69"/>
      <c r="C300" s="291" t="s">
        <v>107</v>
      </c>
      <c r="D300" s="9">
        <v>805</v>
      </c>
      <c r="E300" s="34">
        <f>SUM(E301:E302)</f>
        <v>34.530700000000003</v>
      </c>
      <c r="F300" s="34">
        <f>SUM(F301:F302)</f>
        <v>523.69778999999994</v>
      </c>
      <c r="G300" s="82">
        <f>D300-F300</f>
        <v>281.30221000000006</v>
      </c>
      <c r="H300" s="34">
        <f>SUM(H301:H302)</f>
        <v>647.67836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29.917</f>
        <v>29.917000000000002</v>
      </c>
      <c r="F301" s="29">
        <f>379.34154</f>
        <v>379.34154000000001</v>
      </c>
      <c r="G301" s="94"/>
      <c r="H301" s="29">
        <f>438.28654</f>
        <v>438.28654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8"/>
      <c r="E302" s="29">
        <f>4.6137</f>
        <v>4.6136999999999997</v>
      </c>
      <c r="F302" s="29">
        <f>144.35625</f>
        <v>144.35624999999999</v>
      </c>
      <c r="G302" s="105"/>
      <c r="H302" s="29">
        <f>209.39182</f>
        <v>209.39182</v>
      </c>
      <c r="I302" s="145"/>
      <c r="J302" s="127"/>
    </row>
    <row r="303" spans="1:10" ht="14.15" customHeight="1" x14ac:dyDescent="0.3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10" t="s">
        <v>82</v>
      </c>
      <c r="D304" s="38">
        <f>D294+D297+D300</f>
        <v>2363</v>
      </c>
      <c r="E304" s="39">
        <f>E294+E297+E300+E303</f>
        <v>34.530700000000003</v>
      </c>
      <c r="F304" s="39">
        <f>F294+F297+F300+F303</f>
        <v>2098.59782</v>
      </c>
      <c r="G304" s="40">
        <f>D304-F304</f>
        <v>264.40218000000004</v>
      </c>
      <c r="H304" s="39">
        <f>H294+H297+H300+H303</f>
        <v>2662.1954900000001</v>
      </c>
      <c r="I304" s="26"/>
      <c r="J304" s="127"/>
    </row>
    <row r="305" spans="1:10" ht="42" customHeight="1" x14ac:dyDescent="0.35">
      <c r="A305" s="223"/>
      <c r="B305" s="230"/>
      <c r="C305" s="322" t="s">
        <v>111</v>
      </c>
      <c r="D305" s="322"/>
      <c r="E305" s="322"/>
      <c r="F305" s="322"/>
      <c r="G305" s="322"/>
      <c r="H305" s="322"/>
      <c r="I305" s="322"/>
      <c r="J305" s="323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108</v>
      </c>
      <c r="D307" s="152"/>
    </row>
    <row r="308" spans="1:10" ht="15.65" customHeight="1" x14ac:dyDescent="0.3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9" customHeight="1" x14ac:dyDescent="0.35">
      <c r="A309" s="223"/>
      <c r="B309" s="69"/>
      <c r="C309" s="233" t="s">
        <v>123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124</v>
      </c>
      <c r="E311" s="212" t="s">
        <v>125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126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0" t="s">
        <v>154</v>
      </c>
      <c r="D316" s="320"/>
      <c r="E316" s="320"/>
      <c r="F316" s="320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35">
      <c r="A321" s="223"/>
      <c r="B321" s="193"/>
      <c r="C321" s="19" t="s">
        <v>103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51"/>
      <c r="J321" s="13"/>
    </row>
    <row r="322" spans="1:10" ht="18.75" customHeight="1" x14ac:dyDescent="0.35">
      <c r="A322" s="223"/>
      <c r="B322" s="69"/>
      <c r="C322" s="236" t="s">
        <v>132</v>
      </c>
      <c r="D322" s="237">
        <v>238</v>
      </c>
      <c r="E322" s="29">
        <f>1.49864</f>
        <v>1.49864</v>
      </c>
      <c r="F322" s="29">
        <f>190.17235</f>
        <v>190.17234999999999</v>
      </c>
      <c r="G322" s="238">
        <f>D322-F322</f>
        <v>47.827650000000006</v>
      </c>
      <c r="H322" s="29">
        <f>81.3959299999998</f>
        <v>81.395929999999794</v>
      </c>
      <c r="I322" s="242"/>
      <c r="J322" s="127"/>
    </row>
    <row r="323" spans="1:10" ht="17.5" customHeight="1" x14ac:dyDescent="0.35">
      <c r="A323" s="223"/>
      <c r="B323" s="69"/>
      <c r="C323" s="239" t="s">
        <v>133</v>
      </c>
      <c r="D323" s="240">
        <v>21237</v>
      </c>
      <c r="E323" s="29">
        <f>9.20452</f>
        <v>9.2045200000000005</v>
      </c>
      <c r="F323" s="29">
        <f>311.935190000001</f>
        <v>311.935190000001</v>
      </c>
      <c r="G323" s="241">
        <f>D323-F323</f>
        <v>20925.06481</v>
      </c>
      <c r="H323" s="29">
        <f>351.760110000001</f>
        <v>351.76011000000102</v>
      </c>
      <c r="I323" s="26"/>
      <c r="J323" s="127"/>
    </row>
    <row r="324" spans="1:10" ht="17.149999999999999" customHeight="1" x14ac:dyDescent="0.35">
      <c r="A324" s="223"/>
      <c r="B324" s="69"/>
      <c r="C324" s="310" t="s">
        <v>82</v>
      </c>
      <c r="D324" s="229">
        <f>D322+D323</f>
        <v>21475</v>
      </c>
      <c r="E324" s="39">
        <f>E323+E322</f>
        <v>10.70316</v>
      </c>
      <c r="F324" s="39">
        <f>F323+F322</f>
        <v>502.10754000000099</v>
      </c>
      <c r="G324" s="39">
        <f>G323+G322</f>
        <v>20972.892459999999</v>
      </c>
      <c r="H324" s="39">
        <f>H323+H322</f>
        <v>433.15604000000081</v>
      </c>
      <c r="I324" s="26"/>
      <c r="J324" s="127"/>
    </row>
    <row r="325" spans="1:10" ht="22.5" customHeight="1" x14ac:dyDescent="0.35">
      <c r="A325" s="223"/>
      <c r="B325" s="69"/>
      <c r="C325" s="318" t="s">
        <v>155</v>
      </c>
      <c r="D325" s="318"/>
      <c r="E325" s="318"/>
      <c r="F325" s="318"/>
      <c r="G325" s="318"/>
      <c r="H325" s="318"/>
      <c r="I325" s="318"/>
      <c r="J325" s="319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108</v>
      </c>
      <c r="D328" s="152"/>
    </row>
    <row r="329" spans="1:10" ht="0" hidden="1" customHeight="1" x14ac:dyDescent="0.3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35">
      <c r="A330" s="223"/>
      <c r="B330" s="69"/>
      <c r="C330" s="233" t="s">
        <v>123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124</v>
      </c>
      <c r="E332" s="212" t="s">
        <v>125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126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17" t="s">
        <v>127</v>
      </c>
      <c r="D337" s="317"/>
      <c r="E337" s="317"/>
      <c r="F337" s="317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35">
      <c r="A342" s="223"/>
      <c r="B342" s="193"/>
      <c r="C342" s="19" t="s">
        <v>103</v>
      </c>
      <c r="D342" s="19" t="s">
        <v>1</v>
      </c>
      <c r="E342" s="250" t="s">
        <v>128</v>
      </c>
      <c r="F342" s="250" t="s">
        <v>129</v>
      </c>
      <c r="G342" s="250" t="s">
        <v>130</v>
      </c>
      <c r="H342" s="224" t="s">
        <v>131</v>
      </c>
      <c r="I342" s="251"/>
      <c r="J342" s="13"/>
    </row>
    <row r="343" spans="1:10" ht="0" hidden="1" customHeight="1" x14ac:dyDescent="0.35">
      <c r="A343" s="223"/>
      <c r="B343" s="69"/>
      <c r="C343" s="225" t="s">
        <v>132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91" t="s">
        <v>133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18" t="s">
        <v>134</v>
      </c>
      <c r="D346" s="318"/>
      <c r="E346" s="318"/>
      <c r="F346" s="318"/>
      <c r="G346" s="318"/>
      <c r="H346" s="318"/>
      <c r="I346" s="318"/>
      <c r="J346" s="319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22&amp;R01.06.2026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2026-06-01T11:28:45Z</dcterms:modified>
</cp:coreProperties>
</file>