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141A12F2-7A4B-41BF-A460-15ED3E5FCB8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E298" i="1"/>
  <c r="H297" i="1"/>
  <c r="F297" i="1"/>
  <c r="G297" i="1" s="1"/>
  <c r="E297" i="1"/>
  <c r="H296" i="1"/>
  <c r="F296" i="1"/>
  <c r="E296" i="1"/>
  <c r="H295" i="1"/>
  <c r="F295" i="1"/>
  <c r="F294" i="1" s="1"/>
  <c r="E295" i="1"/>
  <c r="E294" i="1" s="1"/>
  <c r="E304" i="1" s="1"/>
  <c r="H294" i="1"/>
  <c r="H304" i="1" s="1"/>
  <c r="E273" i="1"/>
  <c r="D273" i="1"/>
  <c r="I272" i="1"/>
  <c r="H272" i="1"/>
  <c r="G272" i="1"/>
  <c r="F272" i="1"/>
  <c r="I271" i="1"/>
  <c r="G271" i="1"/>
  <c r="H271" i="1" s="1"/>
  <c r="F271" i="1"/>
  <c r="I270" i="1"/>
  <c r="I268" i="1" s="1"/>
  <c r="G270" i="1"/>
  <c r="G268" i="1" s="1"/>
  <c r="H268" i="1" s="1"/>
  <c r="F270" i="1"/>
  <c r="I269" i="1"/>
  <c r="G269" i="1"/>
  <c r="F269" i="1"/>
  <c r="F268" i="1"/>
  <c r="I267" i="1"/>
  <c r="G267" i="1"/>
  <c r="H267" i="1" s="1"/>
  <c r="F267" i="1"/>
  <c r="I266" i="1"/>
  <c r="G266" i="1"/>
  <c r="H266" i="1" s="1"/>
  <c r="F266" i="1"/>
  <c r="I265" i="1"/>
  <c r="G265" i="1"/>
  <c r="H265" i="1" s="1"/>
  <c r="F265" i="1"/>
  <c r="I264" i="1"/>
  <c r="G264" i="1"/>
  <c r="H264" i="1" s="1"/>
  <c r="F264" i="1"/>
  <c r="I263" i="1"/>
  <c r="G263" i="1"/>
  <c r="H263" i="1" s="1"/>
  <c r="F263" i="1"/>
  <c r="I262" i="1"/>
  <c r="G262" i="1"/>
  <c r="G273" i="1" s="1"/>
  <c r="F262" i="1"/>
  <c r="F273" i="1" s="1"/>
  <c r="E262" i="1"/>
  <c r="D262" i="1"/>
  <c r="H254" i="1"/>
  <c r="F254" i="1"/>
  <c r="D251" i="1"/>
  <c r="D250" i="1"/>
  <c r="D241" i="1"/>
  <c r="H240" i="1"/>
  <c r="G240" i="1"/>
  <c r="F240" i="1"/>
  <c r="E240" i="1"/>
  <c r="H239" i="1"/>
  <c r="F239" i="1"/>
  <c r="G239" i="1" s="1"/>
  <c r="E239" i="1"/>
  <c r="H238" i="1"/>
  <c r="G238" i="1"/>
  <c r="F238" i="1"/>
  <c r="E238" i="1"/>
  <c r="H237" i="1"/>
  <c r="H241" i="1" s="1"/>
  <c r="F237" i="1"/>
  <c r="F241" i="1" s="1"/>
  <c r="G241" i="1" s="1"/>
  <c r="E237" i="1"/>
  <c r="E241" i="1" s="1"/>
  <c r="D230" i="1"/>
  <c r="D219" i="1"/>
  <c r="H218" i="1"/>
  <c r="G218" i="1"/>
  <c r="F218" i="1"/>
  <c r="E218" i="1"/>
  <c r="H217" i="1"/>
  <c r="F217" i="1"/>
  <c r="E217" i="1"/>
  <c r="E215" i="1" s="1"/>
  <c r="E219" i="1" s="1"/>
  <c r="H216" i="1"/>
  <c r="H215" i="1" s="1"/>
  <c r="H219" i="1" s="1"/>
  <c r="F216" i="1"/>
  <c r="F215" i="1" s="1"/>
  <c r="E216" i="1"/>
  <c r="H206" i="1"/>
  <c r="D206" i="1"/>
  <c r="H205" i="1"/>
  <c r="F205" i="1"/>
  <c r="G205" i="1" s="1"/>
  <c r="E205" i="1"/>
  <c r="H204" i="1"/>
  <c r="F204" i="1"/>
  <c r="E204" i="1"/>
  <c r="E202" i="1" s="1"/>
  <c r="E206" i="1" s="1"/>
  <c r="H203" i="1"/>
  <c r="F203" i="1"/>
  <c r="F202" i="1" s="1"/>
  <c r="E203" i="1"/>
  <c r="H202" i="1"/>
  <c r="I192" i="1"/>
  <c r="E192" i="1"/>
  <c r="D192" i="1"/>
  <c r="I191" i="1"/>
  <c r="G191" i="1"/>
  <c r="H191" i="1" s="1"/>
  <c r="F191" i="1"/>
  <c r="I190" i="1"/>
  <c r="G190" i="1"/>
  <c r="H190" i="1" s="1"/>
  <c r="F190" i="1"/>
  <c r="F192" i="1" s="1"/>
  <c r="I189" i="1"/>
  <c r="G189" i="1"/>
  <c r="H189" i="1" s="1"/>
  <c r="F189" i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F163" i="1" s="1"/>
  <c r="G163" i="1" s="1"/>
  <c r="E165" i="1"/>
  <c r="H164" i="1"/>
  <c r="F164" i="1"/>
  <c r="E164" i="1"/>
  <c r="E163" i="1" s="1"/>
  <c r="E169" i="1" s="1"/>
  <c r="H163" i="1"/>
  <c r="H162" i="1"/>
  <c r="G162" i="1"/>
  <c r="F162" i="1"/>
  <c r="E162" i="1"/>
  <c r="H161" i="1"/>
  <c r="F161" i="1"/>
  <c r="E161" i="1"/>
  <c r="H160" i="1"/>
  <c r="H169" i="1" s="1"/>
  <c r="F160" i="1"/>
  <c r="E160" i="1"/>
  <c r="I135" i="1"/>
  <c r="G135" i="1"/>
  <c r="H135" i="1" s="1"/>
  <c r="F135" i="1"/>
  <c r="I134" i="1"/>
  <c r="G134" i="1"/>
  <c r="H134" i="1" s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I126" i="1" s="1"/>
  <c r="G127" i="1"/>
  <c r="H127" i="1" s="1"/>
  <c r="H126" i="1" s="1"/>
  <c r="F127" i="1"/>
  <c r="F126" i="1" s="1"/>
  <c r="F120" i="1" s="1"/>
  <c r="G126" i="1"/>
  <c r="E126" i="1"/>
  <c r="D126" i="1"/>
  <c r="I125" i="1"/>
  <c r="H125" i="1"/>
  <c r="G125" i="1"/>
  <c r="F125" i="1"/>
  <c r="I124" i="1"/>
  <c r="G124" i="1"/>
  <c r="H124" i="1" s="1"/>
  <c r="F124" i="1"/>
  <c r="I123" i="1"/>
  <c r="H123" i="1"/>
  <c r="G123" i="1"/>
  <c r="F123" i="1"/>
  <c r="I122" i="1"/>
  <c r="I121" i="1" s="1"/>
  <c r="I120" i="1" s="1"/>
  <c r="G122" i="1"/>
  <c r="H122" i="1" s="1"/>
  <c r="F122" i="1"/>
  <c r="F121" i="1"/>
  <c r="E121" i="1"/>
  <c r="E120" i="1" s="1"/>
  <c r="D121" i="1"/>
  <c r="D120" i="1"/>
  <c r="I119" i="1"/>
  <c r="G119" i="1"/>
  <c r="H119" i="1" s="1"/>
  <c r="F119" i="1"/>
  <c r="I118" i="1"/>
  <c r="H118" i="1"/>
  <c r="G118" i="1"/>
  <c r="F118" i="1"/>
  <c r="I117" i="1"/>
  <c r="G117" i="1"/>
  <c r="H117" i="1" s="1"/>
  <c r="F117" i="1"/>
  <c r="I116" i="1"/>
  <c r="H116" i="1"/>
  <c r="H115" i="1" s="1"/>
  <c r="G116" i="1"/>
  <c r="F116" i="1"/>
  <c r="F115" i="1" s="1"/>
  <c r="I115" i="1"/>
  <c r="G115" i="1"/>
  <c r="E115" i="1"/>
  <c r="D115" i="1"/>
  <c r="D137" i="1" s="1"/>
  <c r="C113" i="1"/>
  <c r="I93" i="1"/>
  <c r="G93" i="1"/>
  <c r="H93" i="1" s="1"/>
  <c r="F93" i="1"/>
  <c r="I92" i="1"/>
  <c r="G92" i="1"/>
  <c r="H92" i="1" s="1"/>
  <c r="F92" i="1"/>
  <c r="I91" i="1"/>
  <c r="G91" i="1"/>
  <c r="H91" i="1" s="1"/>
  <c r="F91" i="1"/>
  <c r="I90" i="1"/>
  <c r="G90" i="1"/>
  <c r="H90" i="1" s="1"/>
  <c r="F90" i="1"/>
  <c r="I89" i="1"/>
  <c r="G89" i="1"/>
  <c r="H89" i="1" s="1"/>
  <c r="F89" i="1"/>
  <c r="I88" i="1"/>
  <c r="G88" i="1"/>
  <c r="H88" i="1" s="1"/>
  <c r="F88" i="1"/>
  <c r="I87" i="1"/>
  <c r="G87" i="1"/>
  <c r="H87" i="1" s="1"/>
  <c r="F87" i="1"/>
  <c r="I86" i="1"/>
  <c r="G86" i="1"/>
  <c r="H86" i="1" s="1"/>
  <c r="F86" i="1"/>
  <c r="I85" i="1"/>
  <c r="G85" i="1"/>
  <c r="H85" i="1" s="1"/>
  <c r="F85" i="1"/>
  <c r="F83" i="1" s="1"/>
  <c r="F82" i="1" s="1"/>
  <c r="I84" i="1"/>
  <c r="G84" i="1"/>
  <c r="H84" i="1" s="1"/>
  <c r="F84" i="1"/>
  <c r="I83" i="1"/>
  <c r="I82" i="1" s="1"/>
  <c r="G83" i="1"/>
  <c r="G82" i="1" s="1"/>
  <c r="E83" i="1"/>
  <c r="D83" i="1"/>
  <c r="E82" i="1"/>
  <c r="D82" i="1"/>
  <c r="D94" i="1" s="1"/>
  <c r="I81" i="1"/>
  <c r="G81" i="1"/>
  <c r="H81" i="1" s="1"/>
  <c r="F81" i="1"/>
  <c r="F79" i="1" s="1"/>
  <c r="F94" i="1" s="1"/>
  <c r="I80" i="1"/>
  <c r="I79" i="1" s="1"/>
  <c r="I94" i="1" s="1"/>
  <c r="G80" i="1"/>
  <c r="G79" i="1" s="1"/>
  <c r="G94" i="1" s="1"/>
  <c r="F80" i="1"/>
  <c r="E79" i="1"/>
  <c r="E94" i="1" s="1"/>
  <c r="D79" i="1"/>
  <c r="C76" i="1"/>
  <c r="H72" i="1"/>
  <c r="F72" i="1"/>
  <c r="D72" i="1"/>
  <c r="H58" i="1"/>
  <c r="H57" i="1"/>
  <c r="I52" i="1"/>
  <c r="I31" i="1" s="1"/>
  <c r="G52" i="1"/>
  <c r="G31" i="1" s="1"/>
  <c r="H31" i="1" s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3" i="1" s="1"/>
  <c r="H35" i="1"/>
  <c r="G35" i="1"/>
  <c r="F35" i="1"/>
  <c r="I34" i="1"/>
  <c r="G34" i="1"/>
  <c r="G33" i="1" s="1"/>
  <c r="F34" i="1"/>
  <c r="F33" i="1"/>
  <c r="E33" i="1"/>
  <c r="D33" i="1"/>
  <c r="I32" i="1"/>
  <c r="G32" i="1"/>
  <c r="H32" i="1" s="1"/>
  <c r="F32" i="1"/>
  <c r="I30" i="1"/>
  <c r="G30" i="1"/>
  <c r="H30" i="1" s="1"/>
  <c r="F30" i="1"/>
  <c r="I29" i="1"/>
  <c r="G29" i="1"/>
  <c r="H29" i="1" s="1"/>
  <c r="F29" i="1"/>
  <c r="I28" i="1"/>
  <c r="G28" i="1"/>
  <c r="G26" i="1" s="1"/>
  <c r="F28" i="1"/>
  <c r="I27" i="1"/>
  <c r="G27" i="1"/>
  <c r="H27" i="1" s="1"/>
  <c r="F27" i="1"/>
  <c r="E26" i="1"/>
  <c r="D26" i="1"/>
  <c r="E25" i="1"/>
  <c r="D25" i="1"/>
  <c r="I24" i="1"/>
  <c r="G24" i="1"/>
  <c r="H24" i="1" s="1"/>
  <c r="F24" i="1"/>
  <c r="I23" i="1"/>
  <c r="I22" i="1" s="1"/>
  <c r="G23" i="1"/>
  <c r="G22" i="1" s="1"/>
  <c r="F23" i="1"/>
  <c r="F22" i="1" s="1"/>
  <c r="E22" i="1"/>
  <c r="E42" i="1" s="1"/>
  <c r="D22" i="1"/>
  <c r="D42" i="1" s="1"/>
  <c r="H16" i="1"/>
  <c r="F16" i="1"/>
  <c r="D16" i="1"/>
  <c r="I26" i="1" l="1"/>
  <c r="I25" i="1" s="1"/>
  <c r="I42" i="1" s="1"/>
  <c r="F26" i="1"/>
  <c r="F25" i="1" s="1"/>
  <c r="F42" i="1" s="1"/>
  <c r="G215" i="1"/>
  <c r="F219" i="1"/>
  <c r="G219" i="1"/>
  <c r="H121" i="1"/>
  <c r="H120" i="1" s="1"/>
  <c r="H137" i="1" s="1"/>
  <c r="I273" i="1"/>
  <c r="H79" i="1"/>
  <c r="E137" i="1"/>
  <c r="F169" i="1"/>
  <c r="G169" i="1" s="1"/>
  <c r="F304" i="1"/>
  <c r="G304" i="1" s="1"/>
  <c r="G294" i="1"/>
  <c r="G25" i="1"/>
  <c r="H33" i="1"/>
  <c r="H25" i="1" s="1"/>
  <c r="H83" i="1"/>
  <c r="H82" i="1" s="1"/>
  <c r="G137" i="1"/>
  <c r="G202" i="1"/>
  <c r="F206" i="1"/>
  <c r="G206" i="1" s="1"/>
  <c r="H262" i="1"/>
  <c r="H273" i="1" s="1"/>
  <c r="H26" i="1"/>
  <c r="H192" i="1"/>
  <c r="G42" i="1"/>
  <c r="I137" i="1"/>
  <c r="H22" i="1"/>
  <c r="H42" i="1" s="1"/>
  <c r="F137" i="1"/>
  <c r="H23" i="1"/>
  <c r="H28" i="1"/>
  <c r="H52" i="1"/>
  <c r="H80" i="1"/>
  <c r="G121" i="1"/>
  <c r="G120" i="1" s="1"/>
  <c r="G237" i="1"/>
  <c r="H34" i="1"/>
  <c r="G160" i="1"/>
  <c r="G192" i="1"/>
  <c r="H94" i="1" l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<sst xmlns="http://schemas.openxmlformats.org/spreadsheetml/2006/main" count="351" uniqueCount="154">
  <si>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</si>
  <si>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</si>
  <si>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</si>
  <si>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</si>
  <si>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</si>
  <si>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</si>
  <si>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</si>
  <si>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</si>
  <si>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</si>
  <si>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</si>
  <si>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</si>
  <si>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</si>
  <si>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</si>
  <si>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</si>
  <si>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</si>
  <si>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</si>
  <si>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</si>
  <si>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</si>
  <si>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</si>
  <si>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</si>
  <si>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</si>
  <si>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</si>
  <si>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</si>
  <si>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</si>
  <si>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</si>
  <si>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</si>
  <si>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</si>
  <si>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</si>
  <si>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</si>
  <si>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</si>
  <si>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</si>
  <si>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</si>
  <si>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</si>
  <si>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</si>
  <si>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</si>
  <si>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</si>
  <si>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</si>
  <si>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</si>
  <si>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</si>
  <si>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</si>
  <si>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</si>
  <si>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</si>
  <si>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</si>
  <si>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</si>
  <si>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</si>
  <si>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</si>
  <si>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</si>
  <si>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</si>
  <si>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</si>
  <si>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</si>
  <si>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</si>
  <si>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</si>
  <si>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</si>
  <si>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</si>
  <si>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</si>
  <si>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</si>
  <si>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</si>
  <si>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</si>
  <si>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</si>
  <si>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</si>
  <si>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</si>
  <si>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</si>
  <si>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</si>
  <si>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</si>
  <si>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</si>
  <si>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</si>
  <si>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</si>
  <si>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</si>
  <si>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</si>
  <si>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</si>
  <si>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</si>
  <si>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</si>
  <si>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</si>
  <si>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</si>
  <si>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</si>
  <si>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</si>
  <si>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</si>
  <si>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</si>
  <si>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</si>
  <si>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</si>
  <si>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</si>
  <si>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</si>
  <si>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</si>
  <si>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</si>
  <si>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</si>
  <si>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</si>
  <si>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</si>
  <si>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</si>
  <si>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</si>
  <si>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</si>
  <si>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</si>
  <si>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</si>
  <si>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</si>
  <si>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</si>
  <si>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</si>
  <si>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</si>
  <si>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</si>
  <si>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</si>
  <si>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</si>
  <si>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</si>
  <si>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</si>
  <si>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</si>
  <si>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</si>
  <si>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</si>
  <si>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</si>
  <si>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</si>
  <si>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</si>
  <si>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</si>
  <si>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</si>
  <si>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</si>
  <si>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</si>
  <si>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</si>
  <si>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</si>
  <si>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</si>
  <si>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</si>
  <si>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</si>
  <si>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</si>
  <si>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</si>
  <si>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</si>
  <si>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</si>
  <si>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</si>
  <si>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</si>
  <si>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</si>
  <si>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</si>
  <si>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</si>
  <si>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</si>
  <si>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</si>
  <si>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</si>
  <si>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</si>
  <si>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</si>
  <si>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</si>
  <si>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</si>
  <si>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</si>
  <si>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</si>
  <si>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</si>
  <si>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</si>
  <si>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</si>
  <si>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</si>
  <si>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</si>
  <si>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</si>
  <si>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</si>
  <si>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</si>
  <si>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</si>
  <si>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</si>
  <si>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</si>
  <si>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34 tonn, men det legges til grunn at hele avsetningen tas</t>
  </si>
  <si>
    <t>4 Registrert rekreasjonsfiske utgjør 116 tonn, men det legges til grunn at hele avsetningen tas</t>
  </si>
  <si>
    <t>3 Registrert rekreasjonsfiske utgjør 469 tonn, men det legges til grunn at hele avsetningen tas</t>
  </si>
  <si>
    <t>FANGST UKE 19</t>
  </si>
  <si>
    <t>FANGST T.O.M UKE 19</t>
  </si>
  <si>
    <t>RESTKVOTER UKE 19</t>
  </si>
  <si>
    <t>FANGST T.O.M UKE 19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</si>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</sst>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38" zoomScale="101" zoomScaleNormal="55" zoomScaleSheetLayoutView="100" zoomScalePageLayoutView="85" workbookViewId="0">
      <selection activeCell="G46" sqref="G46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123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298" t="s">
        <v>1</v>
      </c>
      <c r="D11" s="299"/>
      <c r="E11" s="298" t="s">
        <v>2</v>
      </c>
      <c r="F11" s="299"/>
      <c r="G11" s="298" t="s">
        <v>3</v>
      </c>
      <c r="H11" s="299"/>
      <c r="I11" s="173"/>
      <c r="J11" s="245"/>
    </row>
    <row r="12" spans="1:10" ht="14.1" customHeight="1" x14ac:dyDescent="0.2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2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2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2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" customHeight="1" x14ac:dyDescent="0.2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25">
      <c r="A17" s="101"/>
      <c r="B17" s="24"/>
      <c r="C17" s="291" t="s">
        <v>143</v>
      </c>
      <c r="D17" s="291"/>
      <c r="E17" s="291"/>
      <c r="F17" s="291"/>
      <c r="G17" s="291"/>
      <c r="H17" s="291"/>
      <c r="I17" s="101"/>
      <c r="J17" s="157"/>
    </row>
    <row r="18" spans="1:10" ht="15" customHeight="1" x14ac:dyDescent="0.2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2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2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148</v>
      </c>
      <c r="G21" s="68" t="s">
        <v>149</v>
      </c>
      <c r="H21" s="68" t="s">
        <v>150</v>
      </c>
      <c r="I21" s="68" t="s">
        <v>151</v>
      </c>
      <c r="J21" s="279"/>
    </row>
    <row r="22" spans="1:10" ht="14.1" customHeight="1" x14ac:dyDescent="0.2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326.27249999999998</v>
      </c>
      <c r="G22" s="27">
        <f t="shared" si="0"/>
        <v>18075.953939999999</v>
      </c>
      <c r="H22" s="10">
        <f t="shared" si="0"/>
        <v>23510.046060000001</v>
      </c>
      <c r="I22" s="10">
        <f t="shared" si="0"/>
        <v>35363.866830000006</v>
      </c>
      <c r="J22" s="245"/>
    </row>
    <row r="23" spans="1:10" ht="14.1" customHeight="1" x14ac:dyDescent="0.25">
      <c r="A23" s="1"/>
      <c r="B23" s="255"/>
      <c r="C23" s="43" t="s">
        <v>20</v>
      </c>
      <c r="D23" s="44">
        <v>38040</v>
      </c>
      <c r="E23" s="44">
        <v>40823</v>
      </c>
      <c r="F23" s="22">
        <f>326.2725</f>
        <v>326.27249999999998</v>
      </c>
      <c r="G23" s="22">
        <f>17778.44994</f>
        <v>17778.449939999999</v>
      </c>
      <c r="H23" s="22">
        <f>E23-G23</f>
        <v>23044.550060000001</v>
      </c>
      <c r="I23" s="22">
        <f>34962.72525</f>
        <v>34962.725250000003</v>
      </c>
      <c r="J23" s="245"/>
    </row>
    <row r="24" spans="1:10" ht="14.1" customHeight="1" x14ac:dyDescent="0.25">
      <c r="A24" s="1"/>
      <c r="B24" s="255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297.504</f>
        <v>297.50400000000002</v>
      </c>
      <c r="H24" s="22">
        <f>E24-G24</f>
        <v>465.49599999999998</v>
      </c>
      <c r="I24" s="22">
        <f>401.14158</f>
        <v>401.14157999999998</v>
      </c>
      <c r="J24" s="245"/>
    </row>
    <row r="25" spans="1:10" ht="14.1" customHeight="1" x14ac:dyDescent="0.2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1160.1959400000001</v>
      </c>
      <c r="G25" s="10">
        <f t="shared" si="1"/>
        <v>91856.671419999999</v>
      </c>
      <c r="H25" s="10">
        <f t="shared" si="1"/>
        <v>29811.328580000001</v>
      </c>
      <c r="I25" s="10">
        <f t="shared" si="1"/>
        <v>110873.02932</v>
      </c>
      <c r="J25" s="245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820.34806000000003</v>
      </c>
      <c r="G26" s="129">
        <f>G27+G28+G29+G30+G31</f>
        <v>73767.609779999999</v>
      </c>
      <c r="H26" s="129">
        <f t="shared" ref="H26:I26" si="2">H27+H28+H29+H30+H31</f>
        <v>21125.390220000001</v>
      </c>
      <c r="I26" s="129">
        <f t="shared" si="2"/>
        <v>89987.926570000011</v>
      </c>
      <c r="J26" s="245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248.71683 - F55</f>
        <v>248.71682999999999</v>
      </c>
      <c r="G27" s="123">
        <f>21625.0209 - G55</f>
        <v>21625.0209</v>
      </c>
      <c r="H27" s="123">
        <f t="shared" ref="H27:H39" si="3">E27-G27</f>
        <v>3527.9791000000005</v>
      </c>
      <c r="I27" s="123">
        <f>24780.72739 - I55</f>
        <v>24780.72739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189.55865 - F56</f>
        <v>189.55865</v>
      </c>
      <c r="G28" s="123">
        <f>21217.21118 - G56</f>
        <v>21217.211179999998</v>
      </c>
      <c r="H28" s="123">
        <f t="shared" si="3"/>
        <v>2776.7888200000016</v>
      </c>
      <c r="I28" s="123">
        <f>25981.16937 - I56</f>
        <v>25981.16937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298.43244 - F57</f>
        <v>298.43243999999999</v>
      </c>
      <c r="G29" s="123">
        <f>19364.89701 - G57</f>
        <v>19364.897010000001</v>
      </c>
      <c r="H29" s="123">
        <f t="shared" si="3"/>
        <v>2505.1029899999994</v>
      </c>
      <c r="I29" s="123">
        <f>24015.90806 - I57</f>
        <v>24015.908060000002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134.64014 - F58</f>
        <v>83.640140000000002</v>
      </c>
      <c r="G30" s="123">
        <f>13107.48069 - G58</f>
        <v>11560.48069</v>
      </c>
      <c r="H30" s="123">
        <f t="shared" si="3"/>
        <v>4084.5193099999997</v>
      </c>
      <c r="I30" s="123">
        <f>17560.12175 - I58</f>
        <v>15210.121749999998</v>
      </c>
      <c r="J30" s="63"/>
    </row>
    <row r="31" spans="1:10" ht="14.1" customHeight="1" x14ac:dyDescent="0.2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" customHeight="1" x14ac:dyDescent="0.25">
      <c r="A32" s="64"/>
      <c r="B32" s="51"/>
      <c r="C32" s="54" t="s">
        <v>29</v>
      </c>
      <c r="D32" s="55">
        <v>12692</v>
      </c>
      <c r="E32" s="55">
        <v>13679</v>
      </c>
      <c r="F32" s="129">
        <f>2.36886</f>
        <v>2.3688600000000002</v>
      </c>
      <c r="G32" s="129">
        <f>6466.19415</f>
        <v>6466.1941500000003</v>
      </c>
      <c r="H32" s="129">
        <f t="shared" si="3"/>
        <v>7212.8058499999997</v>
      </c>
      <c r="I32" s="129">
        <f>7847.22869</f>
        <v>7847.2286899999999</v>
      </c>
      <c r="J32" s="63"/>
    </row>
    <row r="33" spans="1:10" ht="14.1" customHeight="1" x14ac:dyDescent="0.2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337.47901999999999</v>
      </c>
      <c r="G33" s="129">
        <f>G34+G35</f>
        <v>11622.867490000001</v>
      </c>
      <c r="H33" s="129">
        <f t="shared" si="3"/>
        <v>1473.1325099999995</v>
      </c>
      <c r="I33" s="129">
        <f>I34+I35</f>
        <v>13037.87406</v>
      </c>
      <c r="J33" s="63"/>
    </row>
    <row r="34" spans="1:10" ht="14.1" customHeight="1" x14ac:dyDescent="0.25">
      <c r="A34" s="192"/>
      <c r="B34" s="176"/>
      <c r="C34" s="60" t="s">
        <v>31</v>
      </c>
      <c r="D34" s="61">
        <v>9874</v>
      </c>
      <c r="E34" s="61">
        <v>12136</v>
      </c>
      <c r="F34" s="123">
        <f>337.47902 - F59 - F60</f>
        <v>337.47901999999999</v>
      </c>
      <c r="G34" s="129">
        <f>11622.86749 - G59 - G60</f>
        <v>11622.867490000001</v>
      </c>
      <c r="H34" s="123">
        <f t="shared" si="3"/>
        <v>513.13250999999946</v>
      </c>
      <c r="I34" s="123">
        <f>13037.87406 - I59 - I60</f>
        <v>13037.87406</v>
      </c>
      <c r="J34" s="63"/>
    </row>
    <row r="35" spans="1:10" ht="14.1" customHeight="1" x14ac:dyDescent="0.2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25">
      <c r="A36" s="1"/>
      <c r="B36" s="255"/>
      <c r="C36" s="70" t="s">
        <v>33</v>
      </c>
      <c r="D36" s="140">
        <v>1000</v>
      </c>
      <c r="E36" s="140">
        <v>1000</v>
      </c>
      <c r="F36" s="136">
        <f>5.36</f>
        <v>5.36</v>
      </c>
      <c r="G36" s="136">
        <f>155.697</f>
        <v>155.697</v>
      </c>
      <c r="H36" s="136">
        <f t="shared" si="3"/>
        <v>844.303</v>
      </c>
      <c r="I36" s="136">
        <f>344.7692</f>
        <v>344.76920000000001</v>
      </c>
      <c r="J36" s="245"/>
    </row>
    <row r="37" spans="1:10" ht="14.1" customHeight="1" x14ac:dyDescent="0.25">
      <c r="A37" s="1"/>
      <c r="B37" s="255"/>
      <c r="C37" s="70" t="s">
        <v>34</v>
      </c>
      <c r="D37" s="140">
        <v>855</v>
      </c>
      <c r="E37" s="140">
        <v>855</v>
      </c>
      <c r="F37" s="95">
        <f>4.07934</f>
        <v>4.0793400000000002</v>
      </c>
      <c r="G37" s="95">
        <f>531.51881</f>
        <v>531.51881000000003</v>
      </c>
      <c r="H37" s="95">
        <f t="shared" si="3"/>
        <v>323.48118999999997</v>
      </c>
      <c r="I37" s="95">
        <f>446.50321</f>
        <v>446.50321000000002</v>
      </c>
      <c r="J37" s="245"/>
    </row>
    <row r="38" spans="1:10" ht="17.25" customHeight="1" x14ac:dyDescent="0.2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51</v>
      </c>
      <c r="G38" s="95">
        <f>G58</f>
        <v>1547</v>
      </c>
      <c r="H38" s="95">
        <f t="shared" si="3"/>
        <v>1453</v>
      </c>
      <c r="I38" s="95">
        <f>I58</f>
        <v>2350</v>
      </c>
      <c r="J38" s="245"/>
    </row>
    <row r="39" spans="1:10" ht="17.25" customHeight="1" x14ac:dyDescent="0.25">
      <c r="A39" s="1"/>
      <c r="B39" s="255"/>
      <c r="C39" s="70" t="s">
        <v>36</v>
      </c>
      <c r="D39" s="140">
        <v>7000</v>
      </c>
      <c r="E39" s="140">
        <v>7000</v>
      </c>
      <c r="F39" s="95">
        <f>15.10358</f>
        <v>15.103579999999999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25">
      <c r="A40" s="1"/>
      <c r="B40" s="255"/>
      <c r="C40" s="70" t="s">
        <v>38</v>
      </c>
      <c r="D40" s="140">
        <v>450</v>
      </c>
      <c r="E40" s="140">
        <v>450</v>
      </c>
      <c r="F40" s="95">
        <f>18.35694</f>
        <v>18.356940000000002</v>
      </c>
      <c r="G40" s="95">
        <f>349.0908</f>
        <v>349.0908</v>
      </c>
      <c r="H40" s="95">
        <f>E40-G40</f>
        <v>100.9092</v>
      </c>
      <c r="I40" s="95">
        <f>310.55256</f>
        <v>310.55256000000003</v>
      </c>
      <c r="J40" s="245"/>
    </row>
    <row r="41" spans="1:10" ht="14.1" customHeight="1" x14ac:dyDescent="0.25">
      <c r="A41" s="1"/>
      <c r="B41" s="255"/>
      <c r="C41" s="70" t="s">
        <v>39</v>
      </c>
      <c r="D41" s="140"/>
      <c r="E41" s="136"/>
      <c r="F41" s="136">
        <f>0</f>
        <v>0</v>
      </c>
      <c r="G41" s="136">
        <f>53.75713</f>
        <v>53.757129999999997</v>
      </c>
      <c r="H41" s="136">
        <f t="shared" ref="H41" si="4">E41-G41</f>
        <v>-53.757129999999997</v>
      </c>
      <c r="I41" s="136">
        <f>85.43626</f>
        <v>85.436260000000004</v>
      </c>
      <c r="J41" s="245"/>
    </row>
    <row r="42" spans="1:10" ht="16.5" customHeight="1" x14ac:dyDescent="0.2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1580.3682999999999</v>
      </c>
      <c r="G42" s="73">
        <f t="shared" si="5"/>
        <v>119569.6891</v>
      </c>
      <c r="H42" s="73">
        <f t="shared" si="5"/>
        <v>55989.310900000004</v>
      </c>
      <c r="I42" s="73">
        <f t="shared" si="5"/>
        <v>156774.15738000002</v>
      </c>
      <c r="J42" s="245"/>
    </row>
    <row r="43" spans="1:10" ht="14.1" customHeight="1" x14ac:dyDescent="0.2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" customHeight="1" x14ac:dyDescent="0.2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" customHeight="1" x14ac:dyDescent="0.25">
      <c r="A45" s="101"/>
      <c r="B45" s="24"/>
      <c r="C45" s="156" t="s">
        <v>147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25">
      <c r="A49" s="101"/>
      <c r="B49" s="24"/>
      <c r="C49" s="302" t="s">
        <v>43</v>
      </c>
      <c r="D49" s="302"/>
      <c r="E49" s="302"/>
      <c r="F49" s="302"/>
      <c r="G49" s="302"/>
      <c r="H49" s="302"/>
      <c r="I49" s="80"/>
      <c r="J49" s="81"/>
    </row>
    <row r="50" spans="1:10" ht="15.9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148</v>
      </c>
      <c r="G51" s="68" t="s">
        <v>149</v>
      </c>
      <c r="H51" s="68" t="s">
        <v>150</v>
      </c>
      <c r="I51" s="68" t="s">
        <v>151</v>
      </c>
      <c r="J51" s="245"/>
    </row>
    <row r="52" spans="1:10" ht="14.1" customHeight="1" x14ac:dyDescent="0.25">
      <c r="A52" s="101"/>
      <c r="B52" s="24"/>
      <c r="C52" s="15" t="s">
        <v>45</v>
      </c>
      <c r="D52" s="303">
        <v>7872</v>
      </c>
      <c r="E52" s="303">
        <v>8231</v>
      </c>
      <c r="F52" s="10">
        <f>F56+F55+F54+F53</f>
        <v>0</v>
      </c>
      <c r="G52" s="10">
        <f>G56+G55+G54+G53</f>
        <v>0</v>
      </c>
      <c r="H52" s="303">
        <f>E52-G52</f>
        <v>8231</v>
      </c>
      <c r="I52" s="10">
        <f>I56+I55+I54+I53</f>
        <v>0</v>
      </c>
      <c r="J52" s="117"/>
    </row>
    <row r="53" spans="1:10" ht="14.1" customHeight="1" x14ac:dyDescent="0.25">
      <c r="A53" s="101"/>
      <c r="B53" s="24"/>
      <c r="C53" s="60" t="s">
        <v>24</v>
      </c>
      <c r="D53" s="304"/>
      <c r="E53" s="304"/>
      <c r="F53" s="123"/>
      <c r="G53" s="123"/>
      <c r="H53" s="304"/>
      <c r="I53" s="123"/>
      <c r="J53" s="117"/>
    </row>
    <row r="54" spans="1:10" ht="14.1" customHeight="1" x14ac:dyDescent="0.25">
      <c r="A54" s="101"/>
      <c r="B54" s="24"/>
      <c r="C54" s="60" t="s">
        <v>25</v>
      </c>
      <c r="D54" s="304"/>
      <c r="E54" s="304"/>
      <c r="F54" s="123"/>
      <c r="G54" s="123"/>
      <c r="H54" s="304"/>
      <c r="I54" s="123"/>
      <c r="J54" s="245"/>
    </row>
    <row r="55" spans="1:10" ht="14.1" customHeight="1" x14ac:dyDescent="0.25">
      <c r="A55" s="101"/>
      <c r="B55" s="24"/>
      <c r="C55" s="60" t="s">
        <v>26</v>
      </c>
      <c r="D55" s="304"/>
      <c r="E55" s="304"/>
      <c r="F55" s="123"/>
      <c r="G55" s="123"/>
      <c r="H55" s="304"/>
      <c r="I55" s="123"/>
      <c r="J55" s="117"/>
    </row>
    <row r="56" spans="1:10" ht="14.1" customHeight="1" x14ac:dyDescent="0.25">
      <c r="A56" s="101"/>
      <c r="B56" s="24"/>
      <c r="C56" s="84" t="s">
        <v>27</v>
      </c>
      <c r="D56" s="305"/>
      <c r="E56" s="305"/>
      <c r="F56" s="186"/>
      <c r="G56" s="186"/>
      <c r="H56" s="305"/>
      <c r="I56" s="186"/>
      <c r="J56" s="117"/>
    </row>
    <row r="57" spans="1:10" ht="14.1" customHeight="1" x14ac:dyDescent="0.2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" customHeight="1" x14ac:dyDescent="0.25">
      <c r="A58" s="101"/>
      <c r="B58" s="24"/>
      <c r="C58" s="139" t="s">
        <v>47</v>
      </c>
      <c r="D58" s="136">
        <v>3000</v>
      </c>
      <c r="E58" s="136">
        <v>3000</v>
      </c>
      <c r="F58" s="136">
        <v>51</v>
      </c>
      <c r="G58" s="136">
        <v>1547</v>
      </c>
      <c r="H58" s="136">
        <f>E58-G58</f>
        <v>1453</v>
      </c>
      <c r="I58" s="136">
        <v>2350</v>
      </c>
      <c r="J58" s="117"/>
    </row>
    <row r="59" spans="1:10" ht="14.1" customHeight="1" x14ac:dyDescent="0.2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20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298" t="s">
        <v>1</v>
      </c>
      <c r="D68" s="299"/>
      <c r="E68" s="298" t="s">
        <v>2</v>
      </c>
      <c r="F68" s="306"/>
      <c r="G68" s="298" t="s">
        <v>3</v>
      </c>
      <c r="H68" s="299"/>
      <c r="I68" s="173"/>
      <c r="J68" s="245"/>
    </row>
    <row r="69" spans="1:10" ht="15" customHeight="1" x14ac:dyDescent="0.25">
      <c r="B69" s="255"/>
      <c r="C69" s="110" t="s">
        <v>142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2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" customHeight="1" x14ac:dyDescent="0.2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2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25">
      <c r="A73" s="1"/>
      <c r="B73" s="255"/>
      <c r="C73" s="101" t="s">
        <v>144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2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" customHeight="1" x14ac:dyDescent="0.2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2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2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148</v>
      </c>
      <c r="G78" s="14" t="s">
        <v>149</v>
      </c>
      <c r="H78" s="14" t="s">
        <v>150</v>
      </c>
      <c r="I78" s="14" t="s">
        <v>151</v>
      </c>
      <c r="J78" s="117"/>
    </row>
    <row r="79" spans="1:10" ht="14.1" customHeight="1" x14ac:dyDescent="0.2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187.33680000000001</v>
      </c>
      <c r="G79" s="10">
        <f t="shared" si="6"/>
        <v>18071.595249999998</v>
      </c>
      <c r="H79" s="10">
        <f t="shared" si="6"/>
        <v>8069.4047500000015</v>
      </c>
      <c r="I79" s="10">
        <f t="shared" si="6"/>
        <v>22350.610929999999</v>
      </c>
      <c r="J79" s="245"/>
    </row>
    <row r="80" spans="1:10" ht="15" customHeight="1" x14ac:dyDescent="0.25">
      <c r="A80" s="1"/>
      <c r="B80" s="255"/>
      <c r="C80" s="43" t="s">
        <v>20</v>
      </c>
      <c r="D80" s="44">
        <v>24216</v>
      </c>
      <c r="E80" s="44">
        <v>25316</v>
      </c>
      <c r="F80" s="22">
        <f>187.3368</f>
        <v>187.33680000000001</v>
      </c>
      <c r="G80" s="22">
        <f>17661.49185</f>
        <v>17661.491849999999</v>
      </c>
      <c r="H80" s="22">
        <f>E80-G80</f>
        <v>7654.5081500000015</v>
      </c>
      <c r="I80" s="22">
        <f>21591.26668</f>
        <v>21591.266680000001</v>
      </c>
      <c r="J80" s="245"/>
    </row>
    <row r="81" spans="1:10" ht="14.1" customHeight="1" x14ac:dyDescent="0.25">
      <c r="A81" s="1"/>
      <c r="B81" s="255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410.1034</f>
        <v>410.10340000000002</v>
      </c>
      <c r="H81" s="48">
        <f>E81-G81</f>
        <v>414.89659999999998</v>
      </c>
      <c r="I81" s="48">
        <f>759.34425</f>
        <v>759.34424999999999</v>
      </c>
      <c r="J81" s="245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1270.88174</v>
      </c>
      <c r="G82" s="10">
        <f t="shared" si="7"/>
        <v>19297.436479999997</v>
      </c>
      <c r="H82" s="10">
        <f t="shared" si="7"/>
        <v>24831.563520000003</v>
      </c>
      <c r="I82" s="10">
        <f t="shared" si="7"/>
        <v>22318.352819999996</v>
      </c>
      <c r="J82" s="245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1243.9854700000001</v>
      </c>
      <c r="G83" s="129">
        <f t="shared" si="8"/>
        <v>15590.300569999999</v>
      </c>
      <c r="H83" s="129">
        <f t="shared" si="8"/>
        <v>16914.699430000001</v>
      </c>
      <c r="I83" s="129">
        <f t="shared" si="8"/>
        <v>16606.188299999998</v>
      </c>
      <c r="J83" s="245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42.49332</f>
        <v>42.493319999999997</v>
      </c>
      <c r="G84" s="123">
        <f>2449.25324</f>
        <v>2449.25324</v>
      </c>
      <c r="H84" s="123">
        <f t="shared" ref="H84:H91" si="9">E84-G84</f>
        <v>6554.74676</v>
      </c>
      <c r="I84" s="123">
        <f>3473.54673</f>
        <v>3473.54673</v>
      </c>
      <c r="J84" s="245"/>
    </row>
    <row r="85" spans="1:10" ht="14.1" customHeight="1" x14ac:dyDescent="0.25">
      <c r="A85" s="192"/>
      <c r="B85" s="176"/>
      <c r="C85" s="60" t="s">
        <v>51</v>
      </c>
      <c r="D85" s="61">
        <v>8674</v>
      </c>
      <c r="E85" s="61">
        <v>9075</v>
      </c>
      <c r="F85" s="123">
        <f>320.11231</f>
        <v>320.11230999999998</v>
      </c>
      <c r="G85" s="123">
        <f>3965.92253</f>
        <v>3965.9225299999998</v>
      </c>
      <c r="H85" s="123">
        <f t="shared" si="9"/>
        <v>5109.0774700000002</v>
      </c>
      <c r="I85" s="123">
        <f>5523.44927</f>
        <v>5523.4492700000001</v>
      </c>
      <c r="J85" s="245"/>
    </row>
    <row r="86" spans="1:10" ht="14.1" customHeight="1" x14ac:dyDescent="0.25">
      <c r="A86" s="192"/>
      <c r="B86" s="176"/>
      <c r="C86" s="60" t="s">
        <v>52</v>
      </c>
      <c r="D86" s="61">
        <v>8266</v>
      </c>
      <c r="E86" s="61">
        <v>8649</v>
      </c>
      <c r="F86" s="123">
        <f>714.48306</f>
        <v>714.48306000000002</v>
      </c>
      <c r="G86" s="123">
        <f>5336.80846</f>
        <v>5336.8084600000002</v>
      </c>
      <c r="H86" s="123">
        <f t="shared" si="9"/>
        <v>3312.1915399999998</v>
      </c>
      <c r="I86" s="123">
        <f>5023.93249</f>
        <v>5023.9324900000001</v>
      </c>
      <c r="J86" s="245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166.89678</f>
        <v>166.89678000000001</v>
      </c>
      <c r="G87" s="123">
        <f>3838.31634</f>
        <v>3838.3163399999999</v>
      </c>
      <c r="H87" s="123">
        <f t="shared" si="9"/>
        <v>1938.6836600000001</v>
      </c>
      <c r="I87" s="123">
        <f>2585.25981</f>
        <v>2585.25981</v>
      </c>
      <c r="J87" s="245"/>
    </row>
    <row r="88" spans="1:10" ht="14.1" customHeight="1" x14ac:dyDescent="0.25">
      <c r="A88" s="192"/>
      <c r="B88" s="176"/>
      <c r="C88" s="54" t="s">
        <v>53</v>
      </c>
      <c r="D88" s="55">
        <v>7333</v>
      </c>
      <c r="E88" s="55">
        <v>8117</v>
      </c>
      <c r="F88" s="129">
        <f>4.85805</f>
        <v>4.8580500000000004</v>
      </c>
      <c r="G88" s="129">
        <f>2679.66134</f>
        <v>2679.6613400000001</v>
      </c>
      <c r="H88" s="129">
        <f t="shared" si="9"/>
        <v>5437.3386599999994</v>
      </c>
      <c r="I88" s="129">
        <f>4117.75899</f>
        <v>4117.7589900000003</v>
      </c>
      <c r="J88" s="245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22.03822</f>
        <v>22.038219999999999</v>
      </c>
      <c r="G89" s="72">
        <f>1027.47457</f>
        <v>1027.4745700000001</v>
      </c>
      <c r="H89" s="72">
        <f t="shared" si="9"/>
        <v>2479.5254299999997</v>
      </c>
      <c r="I89" s="72">
        <f>1594.40553</f>
        <v>1594.40553</v>
      </c>
      <c r="J89" s="245"/>
    </row>
    <row r="90" spans="1:10" ht="15.75" customHeight="1" x14ac:dyDescent="0.25">
      <c r="A90" s="1"/>
      <c r="B90" s="51"/>
      <c r="C90" s="70" t="s">
        <v>34</v>
      </c>
      <c r="D90" s="86">
        <v>319</v>
      </c>
      <c r="E90" s="86">
        <v>319</v>
      </c>
      <c r="F90" s="95">
        <f>0.1446</f>
        <v>0.14460000000000001</v>
      </c>
      <c r="G90" s="95">
        <f>27.15845</f>
        <v>27.158449999999998</v>
      </c>
      <c r="H90" s="95">
        <f t="shared" si="9"/>
        <v>291.84154999999998</v>
      </c>
      <c r="I90" s="95">
        <f>36.00126</f>
        <v>36.001260000000002</v>
      </c>
      <c r="J90" s="245"/>
    </row>
    <row r="91" spans="1:10" ht="18" customHeight="1" x14ac:dyDescent="0.25">
      <c r="A91" s="1"/>
      <c r="B91" s="255"/>
      <c r="C91" s="70" t="s">
        <v>54</v>
      </c>
      <c r="D91" s="140">
        <v>300</v>
      </c>
      <c r="E91" s="140">
        <v>300</v>
      </c>
      <c r="F91" s="136">
        <f>0.29116</f>
        <v>0.29115999999999997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25">
      <c r="A92" s="1"/>
      <c r="B92" s="255"/>
      <c r="C92" s="89" t="s">
        <v>38</v>
      </c>
      <c r="D92" s="140">
        <v>50</v>
      </c>
      <c r="E92" s="140">
        <v>50</v>
      </c>
      <c r="F92" s="95">
        <f>0.46806</f>
        <v>0.46805999999999998</v>
      </c>
      <c r="G92" s="95">
        <f>11.46801</f>
        <v>11.46801</v>
      </c>
      <c r="H92" s="136">
        <f>E92-G92</f>
        <v>38.53199</v>
      </c>
      <c r="I92" s="95">
        <f>19.11392</f>
        <v>19.11392</v>
      </c>
      <c r="J92" s="245"/>
    </row>
    <row r="93" spans="1:10" ht="18" customHeight="1" x14ac:dyDescent="0.2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5.1777</f>
        <v>5.1776999999999997</v>
      </c>
      <c r="H93" s="136">
        <f t="shared" ref="H93" si="10">E93-G93</f>
        <v>-5.1776999999999997</v>
      </c>
      <c r="I93" s="136">
        <f>16.02412</f>
        <v>16.02412</v>
      </c>
      <c r="J93" s="245"/>
    </row>
    <row r="94" spans="1:10" ht="16.5" customHeight="1" x14ac:dyDescent="0.2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1459.1223600000001</v>
      </c>
      <c r="G94" s="73">
        <f t="shared" si="12"/>
        <v>37712.835889999995</v>
      </c>
      <c r="H94" s="73">
        <f t="shared" si="12"/>
        <v>33226.164110000005</v>
      </c>
      <c r="I94" s="73">
        <f t="shared" si="12"/>
        <v>45040.103049999998</v>
      </c>
      <c r="J94" s="245"/>
    </row>
    <row r="95" spans="1:10" ht="13.5" customHeight="1" x14ac:dyDescent="0.2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25">
      <c r="A96" s="1"/>
      <c r="B96" s="24"/>
      <c r="C96" s="156" t="s">
        <v>145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25">
      <c r="A97" s="1"/>
      <c r="B97" s="24"/>
      <c r="C97" s="156" t="s">
        <v>153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2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2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00000000000001" customHeight="1" x14ac:dyDescent="0.2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2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" customHeight="1" x14ac:dyDescent="0.2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" customHeight="1" x14ac:dyDescent="0.2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" customHeight="1" x14ac:dyDescent="0.2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" customHeight="1" x14ac:dyDescent="0.2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2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2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2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148</v>
      </c>
      <c r="G114" s="14" t="s">
        <v>149</v>
      </c>
      <c r="H114" s="14" t="s">
        <v>150</v>
      </c>
      <c r="I114" s="14" t="s">
        <v>151</v>
      </c>
      <c r="J114" s="279"/>
    </row>
    <row r="115" spans="1:10" ht="14.1" customHeight="1" x14ac:dyDescent="0.2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632.48204999999996</v>
      </c>
      <c r="G115" s="10">
        <f t="shared" si="13"/>
        <v>27762.526119999999</v>
      </c>
      <c r="H115" s="10">
        <f t="shared" si="13"/>
        <v>44527.47387999999</v>
      </c>
      <c r="I115" s="10">
        <f t="shared" si="13"/>
        <v>35577.543689999999</v>
      </c>
      <c r="J115" s="245"/>
    </row>
    <row r="116" spans="1:10" ht="14.1" customHeight="1" x14ac:dyDescent="0.25">
      <c r="A116" s="1"/>
      <c r="B116" s="255"/>
      <c r="C116" s="43" t="s">
        <v>20</v>
      </c>
      <c r="D116" s="44">
        <v>51830</v>
      </c>
      <c r="E116" s="44">
        <v>57471</v>
      </c>
      <c r="F116" s="22">
        <f>632.48205</f>
        <v>632.48204999999996</v>
      </c>
      <c r="G116" s="22">
        <f>24597.14732</f>
        <v>24597.14732</v>
      </c>
      <c r="H116" s="22">
        <f>E116-G116</f>
        <v>32873.852679999996</v>
      </c>
      <c r="I116" s="22">
        <f>31302.69729</f>
        <v>31302.69729</v>
      </c>
      <c r="J116" s="245"/>
    </row>
    <row r="117" spans="1:10" ht="15" customHeight="1" x14ac:dyDescent="0.25">
      <c r="A117" s="1"/>
      <c r="B117" s="255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3100.0212</f>
        <v>3100.0212000000001</v>
      </c>
      <c r="H117" s="22">
        <f>E117-G117</f>
        <v>11218.978800000001</v>
      </c>
      <c r="I117" s="22">
        <f>4209.39625</f>
        <v>4209.3962499999998</v>
      </c>
      <c r="J117" s="245"/>
    </row>
    <row r="118" spans="1:10" ht="13.5" customHeight="1" x14ac:dyDescent="0.2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45"/>
    </row>
    <row r="119" spans="1:10" ht="14.25" customHeight="1" x14ac:dyDescent="0.25">
      <c r="A119" s="65"/>
      <c r="B119" s="75"/>
      <c r="C119" s="85" t="s">
        <v>64</v>
      </c>
      <c r="D119" s="87">
        <v>43775</v>
      </c>
      <c r="E119" s="87">
        <v>52305</v>
      </c>
      <c r="F119" s="92">
        <f>1889.8656</f>
        <v>1889.8656000000001</v>
      </c>
      <c r="G119" s="92">
        <f>2443.41645</f>
        <v>2443.4164500000002</v>
      </c>
      <c r="H119" s="92">
        <f>E119-G119</f>
        <v>49861.583550000003</v>
      </c>
      <c r="I119" s="92">
        <f>623.7558</f>
        <v>623.75580000000002</v>
      </c>
      <c r="J119" s="111"/>
    </row>
    <row r="120" spans="1:10" ht="15.75" customHeight="1" x14ac:dyDescent="0.2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375.38342999999998</v>
      </c>
      <c r="G120" s="91">
        <f t="shared" ref="G120" si="14">G121+G126+G129</f>
        <v>33436.95132</v>
      </c>
      <c r="H120" s="91">
        <f>H121+H126+H129</f>
        <v>39458.048679999993</v>
      </c>
      <c r="I120" s="91">
        <f>I121+I126+I129</f>
        <v>45049.304709999997</v>
      </c>
      <c r="J120" s="117"/>
    </row>
    <row r="121" spans="1:10" ht="14.1" customHeight="1" x14ac:dyDescent="0.2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265.64751999999999</v>
      </c>
      <c r="G121" s="121">
        <f>G122+G123+G125+G124</f>
        <v>24966.907580000003</v>
      </c>
      <c r="H121" s="121">
        <f>H122+H123+H124+H125</f>
        <v>29767.092419999997</v>
      </c>
      <c r="I121" s="121">
        <f>I122+I123+I124+I125</f>
        <v>33945.909269999996</v>
      </c>
      <c r="J121" s="279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16279</v>
      </c>
      <c r="F122" s="123">
        <f>95.64275</f>
        <v>95.642750000000007</v>
      </c>
      <c r="G122" s="123">
        <f>5534.14347</f>
        <v>5534.14347</v>
      </c>
      <c r="H122" s="123">
        <f>E122-G122</f>
        <v>10744.856530000001</v>
      </c>
      <c r="I122" s="123">
        <f>6190.92919</f>
        <v>6190.9291899999998</v>
      </c>
      <c r="J122" s="125"/>
    </row>
    <row r="123" spans="1:10" ht="14.1" customHeight="1" x14ac:dyDescent="0.25">
      <c r="A123" s="192"/>
      <c r="B123" s="176"/>
      <c r="C123" s="60" t="s">
        <v>51</v>
      </c>
      <c r="D123" s="61">
        <v>14094</v>
      </c>
      <c r="E123" s="61">
        <v>13937</v>
      </c>
      <c r="F123" s="123">
        <f>51.39047</f>
        <v>51.390470000000001</v>
      </c>
      <c r="G123" s="123">
        <f>7545.41654</f>
        <v>7545.4165400000002</v>
      </c>
      <c r="H123" s="123">
        <f>E123-G123</f>
        <v>6391.5834599999998</v>
      </c>
      <c r="I123" s="123">
        <f>10161.82502</f>
        <v>10161.82502</v>
      </c>
      <c r="J123" s="126"/>
    </row>
    <row r="124" spans="1:10" ht="14.1" customHeight="1" x14ac:dyDescent="0.25">
      <c r="A124" s="192"/>
      <c r="B124" s="176"/>
      <c r="C124" s="60" t="s">
        <v>52</v>
      </c>
      <c r="D124" s="61">
        <v>12169</v>
      </c>
      <c r="E124" s="61">
        <v>11676</v>
      </c>
      <c r="F124" s="123">
        <f>77.6059</f>
        <v>77.605900000000005</v>
      </c>
      <c r="G124" s="123">
        <f>5647.80309</f>
        <v>5647.8030900000003</v>
      </c>
      <c r="H124" s="123">
        <f>E124-G124</f>
        <v>6028.1969099999997</v>
      </c>
      <c r="I124" s="123">
        <f>8862.97525</f>
        <v>8862.9752499999995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12842</v>
      </c>
      <c r="F125" s="123">
        <f>41.0084</f>
        <v>41.008400000000002</v>
      </c>
      <c r="G125" s="123">
        <f>6239.54448</f>
        <v>6239.5444799999996</v>
      </c>
      <c r="H125" s="123">
        <f>E125-G125</f>
        <v>6602.4555200000004</v>
      </c>
      <c r="I125" s="123">
        <f>8730.17981</f>
        <v>8730.1798099999996</v>
      </c>
      <c r="J125" s="126"/>
    </row>
    <row r="126" spans="1:10" ht="14.1" customHeight="1" x14ac:dyDescent="0.2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17.351099999999999</v>
      </c>
      <c r="G126" s="129">
        <f>SUM(G127:G128)</f>
        <v>5726.2914499999997</v>
      </c>
      <c r="H126" s="129">
        <f>H127+H128</f>
        <v>1304.7085499999998</v>
      </c>
      <c r="I126" s="129">
        <f>SUM(I127:I128)</f>
        <v>8141.4447500000006</v>
      </c>
      <c r="J126" s="130"/>
    </row>
    <row r="127" spans="1:10" ht="14.1" customHeight="1" x14ac:dyDescent="0.25">
      <c r="A127" s="1"/>
      <c r="B127" s="255"/>
      <c r="C127" s="60" t="s">
        <v>66</v>
      </c>
      <c r="D127" s="61">
        <v>6819</v>
      </c>
      <c r="E127" s="61">
        <v>6531</v>
      </c>
      <c r="F127" s="123">
        <f>15.8364</f>
        <v>15.836399999999999</v>
      </c>
      <c r="G127" s="123">
        <f>5610.78668</f>
        <v>5610.7866800000002</v>
      </c>
      <c r="H127" s="123">
        <f t="shared" ref="H127:H135" si="15">E127-G127</f>
        <v>920.21331999999984</v>
      </c>
      <c r="I127" s="123">
        <f>7936.92874</f>
        <v>7936.9287400000003</v>
      </c>
      <c r="J127" s="117"/>
    </row>
    <row r="128" spans="1:10" ht="15" customHeight="1" x14ac:dyDescent="0.25">
      <c r="A128" s="1"/>
      <c r="B128" s="51"/>
      <c r="C128" s="60" t="s">
        <v>67</v>
      </c>
      <c r="D128" s="61">
        <v>500</v>
      </c>
      <c r="E128" s="61">
        <v>500</v>
      </c>
      <c r="F128" s="123">
        <f>1.5147</f>
        <v>1.5146999999999999</v>
      </c>
      <c r="G128" s="123">
        <f>115.50477</f>
        <v>115.50476999999999</v>
      </c>
      <c r="H128" s="123">
        <f t="shared" si="15"/>
        <v>384.49522999999999</v>
      </c>
      <c r="I128" s="123">
        <f>204.51601</f>
        <v>204.51600999999999</v>
      </c>
      <c r="J128" s="131"/>
    </row>
    <row r="129" spans="1:10" ht="15.75" customHeight="1" x14ac:dyDescent="0.25">
      <c r="A129" s="1"/>
      <c r="B129" s="255"/>
      <c r="C129" s="37" t="s">
        <v>11</v>
      </c>
      <c r="D129" s="59">
        <v>9315</v>
      </c>
      <c r="E129" s="59">
        <v>11130</v>
      </c>
      <c r="F129" s="72">
        <f>92.38481</f>
        <v>92.384810000000002</v>
      </c>
      <c r="G129" s="72">
        <f>2743.75229</f>
        <v>2743.7522899999999</v>
      </c>
      <c r="H129" s="72">
        <f t="shared" si="15"/>
        <v>8386.2477099999996</v>
      </c>
      <c r="I129" s="72">
        <f>2961.95069</f>
        <v>2961.9506900000001</v>
      </c>
      <c r="J129" s="117"/>
    </row>
    <row r="130" spans="1:10" ht="15.75" customHeight="1" x14ac:dyDescent="0.25">
      <c r="A130" s="1"/>
      <c r="B130" s="255"/>
      <c r="C130" s="139" t="s">
        <v>34</v>
      </c>
      <c r="D130" s="140">
        <v>146</v>
      </c>
      <c r="E130" s="140">
        <v>146</v>
      </c>
      <c r="F130" s="136">
        <f>0.04185</f>
        <v>4.1849999999999998E-2</v>
      </c>
      <c r="G130" s="136">
        <f>15.2427</f>
        <v>15.242699999999999</v>
      </c>
      <c r="H130" s="136">
        <f t="shared" si="15"/>
        <v>130.75729999999999</v>
      </c>
      <c r="I130" s="136">
        <f>15.64845</f>
        <v>15.64845</v>
      </c>
      <c r="J130" s="117"/>
    </row>
    <row r="131" spans="1:10" ht="15.75" customHeight="1" x14ac:dyDescent="0.2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25">
      <c r="A132" s="1"/>
      <c r="B132" s="255"/>
      <c r="C132" s="137" t="s">
        <v>69</v>
      </c>
      <c r="D132" s="140">
        <v>2000</v>
      </c>
      <c r="E132" s="140">
        <v>2000</v>
      </c>
      <c r="F132" s="136">
        <f>5.01611</f>
        <v>5.0161100000000003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2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55"/>
      <c r="C134" s="139" t="s">
        <v>70</v>
      </c>
      <c r="D134" s="140">
        <v>313</v>
      </c>
      <c r="E134" s="140">
        <v>313</v>
      </c>
      <c r="F134" s="95">
        <f>1.40305</f>
        <v>1.4030499999999999</v>
      </c>
      <c r="G134" s="95">
        <f>81.30165</f>
        <v>81.301649999999995</v>
      </c>
      <c r="H134" s="136">
        <f t="shared" si="15"/>
        <v>231.69835</v>
      </c>
      <c r="I134" s="95">
        <f>37.69003</f>
        <v>37.69003</v>
      </c>
      <c r="J134" s="117"/>
    </row>
    <row r="135" spans="1:10" ht="15" customHeight="1" x14ac:dyDescent="0.25">
      <c r="A135" s="1"/>
      <c r="B135" s="255"/>
      <c r="C135" s="139" t="s">
        <v>39</v>
      </c>
      <c r="D135" s="142"/>
      <c r="E135" s="140"/>
      <c r="F135" s="136">
        <f>0</f>
        <v>0</v>
      </c>
      <c r="G135" s="136">
        <f>74.76946</f>
        <v>74.769459999999995</v>
      </c>
      <c r="H135" s="136">
        <f t="shared" si="15"/>
        <v>-74.769459999999995</v>
      </c>
      <c r="I135" s="136">
        <f>109.17109</f>
        <v>109.17109000000001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2904.19209</v>
      </c>
      <c r="G137" s="73">
        <f>G115+G119+G120+G130+G131+G132+G133+G134+G135</f>
        <v>65814.207699999999</v>
      </c>
      <c r="H137" s="73">
        <f>H115+H119+H120+H130+H131+H132+H133+H134+H135</f>
        <v>134484.79229999997</v>
      </c>
      <c r="I137" s="73">
        <f>I115+I119+I120+I130+I131+I132+I133+I134+I135</f>
        <v>83413.113769999996</v>
      </c>
      <c r="J137" s="155"/>
    </row>
    <row r="138" spans="1:10" ht="14.25" customHeight="1" x14ac:dyDescent="0.2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25">
      <c r="A140" s="152"/>
      <c r="B140" s="50"/>
      <c r="C140" s="156" t="s">
        <v>152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25">
      <c r="A141" s="152"/>
      <c r="B141" s="50"/>
      <c r="C141" s="74" t="s">
        <v>146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2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2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" customHeight="1" x14ac:dyDescent="0.2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" customHeight="1" x14ac:dyDescent="0.2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" customHeight="1" x14ac:dyDescent="0.2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" customHeight="1" x14ac:dyDescent="0.2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" customHeight="1" x14ac:dyDescent="0.2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2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2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148</v>
      </c>
      <c r="F159" s="14" t="s">
        <v>149</v>
      </c>
      <c r="G159" s="52" t="s">
        <v>150</v>
      </c>
      <c r="H159" s="14" t="s">
        <v>151</v>
      </c>
      <c r="I159" s="152"/>
      <c r="J159" s="279"/>
    </row>
    <row r="160" spans="1:10" ht="14.1" customHeight="1" x14ac:dyDescent="0.25">
      <c r="A160" s="1"/>
      <c r="B160" s="255"/>
      <c r="C160" s="138" t="s">
        <v>74</v>
      </c>
      <c r="D160" s="91">
        <v>3762</v>
      </c>
      <c r="E160" s="275">
        <f>4.09581</f>
        <v>4.0958100000000002</v>
      </c>
      <c r="F160" s="275">
        <f>397.24755</f>
        <v>397.24754999999999</v>
      </c>
      <c r="G160" s="42">
        <f>D160-F160-F161</f>
        <v>2777.19607</v>
      </c>
      <c r="H160" s="275">
        <f>351.12076</f>
        <v>351.12076000000002</v>
      </c>
      <c r="I160" s="1"/>
      <c r="J160" s="117"/>
    </row>
    <row r="161" spans="1:10" ht="14.1" customHeight="1" x14ac:dyDescent="0.25">
      <c r="A161" s="1"/>
      <c r="B161" s="255"/>
      <c r="C161" s="133" t="s">
        <v>53</v>
      </c>
      <c r="D161" s="175"/>
      <c r="E161" s="148">
        <f>0.14892</f>
        <v>0.14892</v>
      </c>
      <c r="F161" s="148">
        <f>587.55638</f>
        <v>587.55637999999999</v>
      </c>
      <c r="G161" s="213"/>
      <c r="H161" s="148">
        <f>759.05709</f>
        <v>759.05709000000002</v>
      </c>
      <c r="I161" s="1"/>
      <c r="J161" s="117"/>
    </row>
    <row r="162" spans="1:10" ht="15.6" customHeight="1" x14ac:dyDescent="0.25">
      <c r="A162" s="1"/>
      <c r="B162" s="255"/>
      <c r="C162" s="163" t="s">
        <v>75</v>
      </c>
      <c r="D162" s="95">
        <v>200</v>
      </c>
      <c r="E162" s="166">
        <f>0.37668</f>
        <v>0.37668000000000001</v>
      </c>
      <c r="F162" s="166">
        <f>51.09842</f>
        <v>51.098419999999997</v>
      </c>
      <c r="G162" s="166">
        <f>D162-F162</f>
        <v>148.90158</v>
      </c>
      <c r="H162" s="166">
        <f>41.97468</f>
        <v>41.974679999999999</v>
      </c>
      <c r="I162" s="1"/>
      <c r="J162" s="117"/>
    </row>
    <row r="163" spans="1:10" ht="14.1" customHeight="1" x14ac:dyDescent="0.25">
      <c r="A163" s="65"/>
      <c r="B163" s="75"/>
      <c r="C163" s="174" t="s">
        <v>76</v>
      </c>
      <c r="D163" s="175">
        <v>5642</v>
      </c>
      <c r="E163" s="175">
        <f>E164+E165+E166</f>
        <v>8.2218599999999995</v>
      </c>
      <c r="F163" s="175">
        <f>F164+F165+F166</f>
        <v>137.53996000000001</v>
      </c>
      <c r="G163" s="175">
        <f>D163-F163</f>
        <v>5504.4600399999999</v>
      </c>
      <c r="H163" s="175">
        <f>H164+H165+H166</f>
        <v>110.69107</v>
      </c>
      <c r="I163" s="65"/>
      <c r="J163" s="111"/>
    </row>
    <row r="164" spans="1:10" ht="14.1" customHeight="1" x14ac:dyDescent="0.25">
      <c r="A164" s="192"/>
      <c r="B164" s="176"/>
      <c r="C164" s="177" t="s">
        <v>77</v>
      </c>
      <c r="D164" s="123"/>
      <c r="E164" s="123">
        <f>2.2352</f>
        <v>2.2351999999999999</v>
      </c>
      <c r="F164" s="123">
        <f>40.52442</f>
        <v>40.524419999999999</v>
      </c>
      <c r="G164" s="123"/>
      <c r="H164" s="123">
        <f>51.93019</f>
        <v>51.930190000000003</v>
      </c>
      <c r="I164" s="181"/>
      <c r="J164" s="126"/>
    </row>
    <row r="165" spans="1:10" ht="14.1" customHeight="1" x14ac:dyDescent="0.25">
      <c r="A165" s="192"/>
      <c r="B165" s="176"/>
      <c r="C165" s="177" t="s">
        <v>78</v>
      </c>
      <c r="D165" s="123"/>
      <c r="E165" s="123">
        <f>4.1389</f>
        <v>4.1388999999999996</v>
      </c>
      <c r="F165" s="123">
        <f>50.75872</f>
        <v>50.758719999999997</v>
      </c>
      <c r="G165" s="123"/>
      <c r="H165" s="123">
        <f>26.98046</f>
        <v>26.980460000000001</v>
      </c>
      <c r="I165" s="181"/>
      <c r="J165" s="182"/>
    </row>
    <row r="166" spans="1:10" ht="14.1" customHeight="1" x14ac:dyDescent="0.25">
      <c r="A166" s="192"/>
      <c r="B166" s="176"/>
      <c r="C166" s="183" t="s">
        <v>79</v>
      </c>
      <c r="D166" s="186"/>
      <c r="E166" s="186">
        <f>1.84776</f>
        <v>1.8477600000000001</v>
      </c>
      <c r="F166" s="186">
        <f>46.25682</f>
        <v>46.256819999999998</v>
      </c>
      <c r="G166" s="186"/>
      <c r="H166" s="186">
        <f>31.78042</f>
        <v>31.780419999999999</v>
      </c>
      <c r="I166" s="181"/>
      <c r="J166" s="182"/>
    </row>
    <row r="167" spans="1:10" ht="14.1" customHeight="1" x14ac:dyDescent="0.2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2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50000000000001" customHeight="1" x14ac:dyDescent="0.2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12.84327</v>
      </c>
      <c r="F169" s="188">
        <f>F160+F161+F162+F163+F167+F168</f>
        <v>1173.4423100000001</v>
      </c>
      <c r="G169" s="188">
        <f>D169-F169</f>
        <v>8501.5576899999996</v>
      </c>
      <c r="H169" s="188">
        <f>H160+H161+H162+H163+H167+H168</f>
        <v>1262.8436000000002</v>
      </c>
      <c r="I169" s="159"/>
      <c r="J169" s="155"/>
    </row>
    <row r="170" spans="1:10" ht="42" customHeight="1" x14ac:dyDescent="0.25">
      <c r="A170" s="1"/>
      <c r="B170" s="193"/>
      <c r="C170" s="228" t="s">
        <v>132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2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2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55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55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55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2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55"/>
      <c r="C188" s="68" t="s">
        <v>16</v>
      </c>
      <c r="D188" s="210" t="s">
        <v>2</v>
      </c>
      <c r="E188" s="14" t="s">
        <v>140</v>
      </c>
      <c r="F188" s="68" t="s">
        <v>148</v>
      </c>
      <c r="G188" s="68" t="s">
        <v>149</v>
      </c>
      <c r="H188" s="68" t="s">
        <v>150</v>
      </c>
      <c r="I188" s="68" t="s">
        <v>151</v>
      </c>
      <c r="J188" s="117"/>
    </row>
    <row r="189" spans="1:10" ht="15" customHeight="1" x14ac:dyDescent="0.25">
      <c r="A189" s="1"/>
      <c r="B189" s="255"/>
      <c r="C189" s="90" t="s">
        <v>4</v>
      </c>
      <c r="D189" s="124">
        <v>44142</v>
      </c>
      <c r="E189" s="124">
        <v>43335</v>
      </c>
      <c r="F189" s="124">
        <f>18.09745</f>
        <v>18.097449999999998</v>
      </c>
      <c r="G189" s="124">
        <f>17552.12707</f>
        <v>17552.127069999999</v>
      </c>
      <c r="H189" s="124">
        <f>D189-G189</f>
        <v>26589.872930000001</v>
      </c>
      <c r="I189" s="124">
        <f>13454.40627</f>
        <v>13454.406269999999</v>
      </c>
      <c r="J189" s="117"/>
    </row>
    <row r="190" spans="1:10" ht="15" customHeight="1" x14ac:dyDescent="0.25">
      <c r="A190" s="1"/>
      <c r="B190" s="255"/>
      <c r="C190" s="90" t="s">
        <v>67</v>
      </c>
      <c r="D190" s="124">
        <v>100</v>
      </c>
      <c r="E190" s="124">
        <v>100</v>
      </c>
      <c r="F190" s="124">
        <f>0.0604</f>
        <v>6.0400000000000002E-2</v>
      </c>
      <c r="G190" s="124">
        <f>11.23434</f>
        <v>11.23434</v>
      </c>
      <c r="H190" s="124">
        <f>D190-G190</f>
        <v>88.765659999999997</v>
      </c>
      <c r="I190" s="124">
        <f>15.73033</f>
        <v>15.73033</v>
      </c>
      <c r="J190" s="117"/>
    </row>
    <row r="191" spans="1:10" ht="15.75" customHeight="1" x14ac:dyDescent="0.2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18.15785</v>
      </c>
      <c r="G192" s="190">
        <f>SUM(G189:G191)</f>
        <v>17563.361409999998</v>
      </c>
      <c r="H192" s="190">
        <f>D192-G192</f>
        <v>26714.638590000002</v>
      </c>
      <c r="I192" s="190">
        <f>SUM(I189:I191)</f>
        <v>13470.1366</v>
      </c>
      <c r="J192" s="117"/>
    </row>
    <row r="193" spans="1:10" ht="12" customHeight="1" x14ac:dyDescent="0.2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2"/>
    </row>
    <row r="195" spans="1:10" ht="15.9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2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55"/>
      <c r="C201" s="68" t="s">
        <v>16</v>
      </c>
      <c r="D201" s="79" t="s">
        <v>2</v>
      </c>
      <c r="E201" s="68" t="s">
        <v>148</v>
      </c>
      <c r="F201" s="68" t="s">
        <v>149</v>
      </c>
      <c r="G201" s="68" t="s">
        <v>150</v>
      </c>
      <c r="H201" s="68" t="s">
        <v>151</v>
      </c>
      <c r="I201" s="1"/>
      <c r="J201" s="117"/>
    </row>
    <row r="202" spans="1:10" ht="15" customHeight="1" x14ac:dyDescent="0.25">
      <c r="A202" s="1"/>
      <c r="B202" s="255"/>
      <c r="C202" s="90" t="s">
        <v>116</v>
      </c>
      <c r="D202" s="124">
        <v>3987</v>
      </c>
      <c r="E202" s="72">
        <f>E203+E204</f>
        <v>84.102779999999996</v>
      </c>
      <c r="F202" s="72">
        <f>F203+F204</f>
        <v>1977.6350300000001</v>
      </c>
      <c r="G202" s="72">
        <f>D202-F202</f>
        <v>2009.3649699999999</v>
      </c>
      <c r="H202" s="72">
        <f>H203+H204</f>
        <v>2598.4534800000001</v>
      </c>
      <c r="I202" s="249"/>
      <c r="J202" s="117"/>
    </row>
    <row r="203" spans="1:10" ht="15" customHeight="1" x14ac:dyDescent="0.25">
      <c r="A203" s="1"/>
      <c r="B203" s="255"/>
      <c r="C203" s="172" t="s">
        <v>8</v>
      </c>
      <c r="D203" s="124"/>
      <c r="E203" s="72">
        <f>69.66488</f>
        <v>69.664879999999997</v>
      </c>
      <c r="F203" s="72">
        <f>1495.65613</f>
        <v>1495.6561300000001</v>
      </c>
      <c r="G203" s="72"/>
      <c r="H203" s="72">
        <f>2137.39797</f>
        <v>2137.39797</v>
      </c>
      <c r="I203" s="249"/>
      <c r="J203" s="117"/>
    </row>
    <row r="204" spans="1:10" ht="15" customHeight="1" x14ac:dyDescent="0.25">
      <c r="A204" s="1"/>
      <c r="B204" s="255"/>
      <c r="C204" s="172" t="s">
        <v>67</v>
      </c>
      <c r="D204" s="124"/>
      <c r="E204" s="124">
        <f>14.4379</f>
        <v>14.437900000000001</v>
      </c>
      <c r="F204" s="124">
        <f>481.9789</f>
        <v>481.97890000000001</v>
      </c>
      <c r="G204" s="168"/>
      <c r="H204" s="124">
        <f>461.05551</f>
        <v>461.05551000000003</v>
      </c>
      <c r="I204" s="249"/>
      <c r="J204" s="117"/>
    </row>
    <row r="205" spans="1:10" ht="15" customHeight="1" x14ac:dyDescent="0.25">
      <c r="A205" s="1"/>
      <c r="B205" s="255"/>
      <c r="C205" s="90" t="s">
        <v>117</v>
      </c>
      <c r="D205" s="124">
        <v>4613</v>
      </c>
      <c r="E205" s="72">
        <f>457.84384</f>
        <v>457.84384</v>
      </c>
      <c r="F205" s="72">
        <f>2803.23975</f>
        <v>2803.2397500000002</v>
      </c>
      <c r="G205" s="72">
        <f>D205-F205</f>
        <v>1809.7602499999998</v>
      </c>
      <c r="H205" s="72">
        <f>3509.48807</f>
        <v>3509.4880699999999</v>
      </c>
      <c r="I205" s="249"/>
      <c r="J205" s="117"/>
    </row>
    <row r="206" spans="1:10" ht="16.5" customHeight="1" x14ac:dyDescent="0.25">
      <c r="A206" s="1"/>
      <c r="B206" s="255"/>
      <c r="C206" s="179" t="s">
        <v>86</v>
      </c>
      <c r="D206" s="190">
        <f>D205+D202</f>
        <v>8600</v>
      </c>
      <c r="E206" s="190">
        <f>SUM(E202,E205)</f>
        <v>541.94661999999994</v>
      </c>
      <c r="F206" s="190">
        <f>SUM(F202,F205)</f>
        <v>4780.8747800000001</v>
      </c>
      <c r="G206" s="190">
        <f>D206-F206</f>
        <v>3819.1252199999999</v>
      </c>
      <c r="H206" s="190">
        <f>SUM(H202,H205)</f>
        <v>6107.9415499999996</v>
      </c>
      <c r="I206" s="249"/>
      <c r="J206" s="117"/>
    </row>
    <row r="207" spans="1:10" ht="18.9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5.9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6" customHeight="1" x14ac:dyDescent="0.3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2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55"/>
      <c r="C214" s="68" t="s">
        <v>16</v>
      </c>
      <c r="D214" s="79" t="s">
        <v>2</v>
      </c>
      <c r="E214" s="68" t="s">
        <v>148</v>
      </c>
      <c r="F214" s="68" t="s">
        <v>149</v>
      </c>
      <c r="G214" s="68" t="s">
        <v>150</v>
      </c>
      <c r="H214" s="68" t="s">
        <v>151</v>
      </c>
      <c r="I214" s="1"/>
      <c r="J214" s="117"/>
    </row>
    <row r="215" spans="1:10" ht="15" customHeight="1" x14ac:dyDescent="0.25">
      <c r="A215" s="1"/>
      <c r="B215" s="255"/>
      <c r="C215" s="90" t="s">
        <v>116</v>
      </c>
      <c r="D215" s="124">
        <v>5090</v>
      </c>
      <c r="E215" s="72">
        <f>E216+E217</f>
        <v>285.05934999999999</v>
      </c>
      <c r="F215" s="72">
        <f>F216+F217</f>
        <v>1991.12246</v>
      </c>
      <c r="G215" s="72">
        <f>D215-F215</f>
        <v>3098.87754</v>
      </c>
      <c r="H215" s="72">
        <f>H216+H217</f>
        <v>2429.9342200000001</v>
      </c>
      <c r="I215" s="249"/>
      <c r="J215" s="117"/>
    </row>
    <row r="216" spans="1:10" ht="15" customHeight="1" x14ac:dyDescent="0.25">
      <c r="A216" s="1"/>
      <c r="B216" s="255"/>
      <c r="C216" s="172" t="s">
        <v>8</v>
      </c>
      <c r="D216" s="124"/>
      <c r="E216" s="72">
        <f>268.57193</f>
        <v>268.57193000000001</v>
      </c>
      <c r="F216" s="72">
        <f>1722.30316</f>
        <v>1722.3031599999999</v>
      </c>
      <c r="G216" s="72"/>
      <c r="H216" s="72">
        <f>2066.63861</f>
        <v>2066.63861</v>
      </c>
      <c r="I216" s="249"/>
      <c r="J216" s="117"/>
    </row>
    <row r="217" spans="1:10" ht="15" customHeight="1" x14ac:dyDescent="0.25">
      <c r="A217" s="1"/>
      <c r="B217" s="255"/>
      <c r="C217" s="172" t="s">
        <v>67</v>
      </c>
      <c r="D217" s="124"/>
      <c r="E217" s="124">
        <f>16.48742</f>
        <v>16.48742</v>
      </c>
      <c r="F217" s="124">
        <f>268.8193</f>
        <v>268.8193</v>
      </c>
      <c r="G217" s="168"/>
      <c r="H217" s="124">
        <f>363.29561</f>
        <v>363.29561000000001</v>
      </c>
      <c r="I217" s="249"/>
      <c r="J217" s="117"/>
    </row>
    <row r="218" spans="1:10" ht="15" customHeight="1" x14ac:dyDescent="0.25">
      <c r="A218" s="1"/>
      <c r="B218" s="255"/>
      <c r="C218" s="90" t="s">
        <v>117</v>
      </c>
      <c r="D218" s="124">
        <v>2981</v>
      </c>
      <c r="E218" s="72">
        <f>92.76682</f>
        <v>92.766819999999996</v>
      </c>
      <c r="F218" s="72">
        <f>1300.14981</f>
        <v>1300.1498099999999</v>
      </c>
      <c r="G218" s="72">
        <f>D218-F218</f>
        <v>1680.8501900000001</v>
      </c>
      <c r="H218" s="72">
        <f>1630.35532</f>
        <v>1630.3553199999999</v>
      </c>
      <c r="I218" s="249"/>
      <c r="J218" s="117"/>
    </row>
    <row r="219" spans="1:10" ht="16.5" customHeight="1" x14ac:dyDescent="0.25">
      <c r="A219" s="1"/>
      <c r="B219" s="255"/>
      <c r="C219" s="179" t="s">
        <v>86</v>
      </c>
      <c r="D219" s="190">
        <f>D218+D215</f>
        <v>8071</v>
      </c>
      <c r="E219" s="190">
        <f>SUM(E215,E218)</f>
        <v>377.82616999999999</v>
      </c>
      <c r="F219" s="190">
        <f>SUM(F215,F218)</f>
        <v>3291.2722699999999</v>
      </c>
      <c r="G219" s="190">
        <f>D219-F219</f>
        <v>4779.7277300000005</v>
      </c>
      <c r="H219" s="190">
        <f>SUM(H215,H218)</f>
        <v>4060.2895399999998</v>
      </c>
      <c r="I219" s="249"/>
      <c r="J219" s="117"/>
    </row>
    <row r="220" spans="1:10" ht="18.9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6" customHeight="1" x14ac:dyDescent="0.2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" customHeight="1" x14ac:dyDescent="0.2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" customHeight="1" x14ac:dyDescent="0.2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2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2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" customHeight="1" x14ac:dyDescent="0.2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25">
      <c r="A236" s="1"/>
      <c r="B236" s="255"/>
      <c r="C236" s="68" t="s">
        <v>16</v>
      </c>
      <c r="D236" s="244" t="s">
        <v>2</v>
      </c>
      <c r="E236" s="68" t="s">
        <v>148</v>
      </c>
      <c r="F236" s="68" t="s">
        <v>149</v>
      </c>
      <c r="G236" s="68" t="s">
        <v>150</v>
      </c>
      <c r="H236" s="68" t="s">
        <v>151</v>
      </c>
      <c r="I236" s="1"/>
      <c r="J236" s="111"/>
    </row>
    <row r="237" spans="1:10" ht="14.1" customHeight="1" x14ac:dyDescent="0.25">
      <c r="A237" s="65"/>
      <c r="B237" s="75"/>
      <c r="C237" s="90" t="s">
        <v>92</v>
      </c>
      <c r="D237" s="124">
        <v>800</v>
      </c>
      <c r="E237" s="124">
        <f>2.03044</f>
        <v>2.03044</v>
      </c>
      <c r="F237" s="124">
        <f>171.14455</f>
        <v>171.14455000000001</v>
      </c>
      <c r="G237" s="124">
        <f>D237-F237</f>
        <v>628.85545000000002</v>
      </c>
      <c r="H237" s="124">
        <f>256.00699</f>
        <v>256.00698999999997</v>
      </c>
      <c r="I237" s="65"/>
      <c r="J237" s="245"/>
    </row>
    <row r="238" spans="1:10" ht="14.1" customHeight="1" x14ac:dyDescent="0.25">
      <c r="A238" s="1"/>
      <c r="B238" s="255"/>
      <c r="C238" s="90" t="s">
        <v>93</v>
      </c>
      <c r="D238" s="247">
        <v>2193</v>
      </c>
      <c r="E238" s="124">
        <f>17.56507</f>
        <v>17.565069999999999</v>
      </c>
      <c r="F238" s="124">
        <f>300.70228</f>
        <v>300.70227999999997</v>
      </c>
      <c r="G238" s="124">
        <f>D238-F238</f>
        <v>1892.29772</v>
      </c>
      <c r="H238" s="124">
        <f>462.70943</f>
        <v>462.70943</v>
      </c>
      <c r="I238" s="173"/>
      <c r="J238" s="111"/>
    </row>
    <row r="239" spans="1:10" ht="16.5" customHeight="1" x14ac:dyDescent="0.2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25">
      <c r="A240" s="65"/>
      <c r="B240" s="251"/>
      <c r="C240" s="146" t="s">
        <v>94</v>
      </c>
      <c r="D240" s="223"/>
      <c r="E240" s="168">
        <f>0.5955</f>
        <v>0.59550000000000003</v>
      </c>
      <c r="F240" s="168">
        <f>0.6194</f>
        <v>0.61939999999999995</v>
      </c>
      <c r="G240" s="124">
        <f>D240-F240</f>
        <v>-0.61939999999999995</v>
      </c>
      <c r="H240" s="168">
        <f>0.047</f>
        <v>4.7E-2</v>
      </c>
      <c r="I240" s="283"/>
      <c r="J240" s="117"/>
    </row>
    <row r="241" spans="1:10" ht="14.1" customHeight="1" x14ac:dyDescent="0.25">
      <c r="A241" s="1"/>
      <c r="B241" s="255"/>
      <c r="C241" s="179" t="s">
        <v>86</v>
      </c>
      <c r="D241" s="5">
        <f>D226</f>
        <v>3003</v>
      </c>
      <c r="E241" s="190">
        <f>SUM(E237:E240)</f>
        <v>20.191009999999999</v>
      </c>
      <c r="F241" s="190">
        <f>SUM(F237:F240)</f>
        <v>472.52036999999996</v>
      </c>
      <c r="G241" s="190">
        <f>D241-F241</f>
        <v>2530.4796299999998</v>
      </c>
      <c r="H241" s="190">
        <f>H237+H238+H239+H240</f>
        <v>719.37347999999997</v>
      </c>
      <c r="I241" s="1"/>
      <c r="J241" s="117"/>
    </row>
    <row r="242" spans="1:10" ht="14.1" customHeight="1" x14ac:dyDescent="0.2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5.95" customHeight="1" x14ac:dyDescent="0.25">
      <c r="A244" s="1"/>
      <c r="C244" s="145" t="s">
        <v>112</v>
      </c>
    </row>
    <row r="245" spans="1:10" ht="14.1" customHeight="1" x14ac:dyDescent="0.25">
      <c r="A245" s="1" t="s">
        <v>112</v>
      </c>
    </row>
    <row r="246" spans="1:10" ht="30" customHeight="1" x14ac:dyDescent="0.3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2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" customHeight="1" x14ac:dyDescent="0.2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35" customHeight="1" x14ac:dyDescent="0.2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2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25">
      <c r="B261" s="69"/>
      <c r="C261" s="224" t="s">
        <v>16</v>
      </c>
      <c r="D261" s="233" t="s">
        <v>17</v>
      </c>
      <c r="E261" s="68" t="s">
        <v>136</v>
      </c>
      <c r="F261" s="224" t="s">
        <v>148</v>
      </c>
      <c r="G261" s="224" t="s">
        <v>149</v>
      </c>
      <c r="H261" s="224" t="s">
        <v>150</v>
      </c>
      <c r="I261" s="224" t="s">
        <v>151</v>
      </c>
      <c r="J261" s="127"/>
    </row>
    <row r="262" spans="1:10" ht="14.1" customHeight="1" x14ac:dyDescent="0.2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104.52518000000001</v>
      </c>
      <c r="G262" s="254">
        <f t="shared" si="17"/>
        <v>2679.5877999999998</v>
      </c>
      <c r="H262" s="254">
        <f>H266+H265+H264+H263</f>
        <v>25056.412199999999</v>
      </c>
      <c r="I262" s="254">
        <f t="shared" si="17"/>
        <v>5937.6820600000001</v>
      </c>
      <c r="J262" s="127"/>
    </row>
    <row r="263" spans="1:10" ht="14.1" customHeight="1" x14ac:dyDescent="0.25">
      <c r="A263" s="215"/>
      <c r="B263" s="69"/>
      <c r="C263" s="256" t="s">
        <v>102</v>
      </c>
      <c r="D263" s="257">
        <v>14132</v>
      </c>
      <c r="E263" s="257">
        <v>16670</v>
      </c>
      <c r="F263" s="258">
        <f>12.15</f>
        <v>12.15</v>
      </c>
      <c r="G263" s="258">
        <f>723.04157</f>
        <v>723.04156999999998</v>
      </c>
      <c r="H263" s="258">
        <f t="shared" ref="H263:H267" si="18">E263-G263</f>
        <v>15946.958430000001</v>
      </c>
      <c r="I263" s="258">
        <f>3964.03526</f>
        <v>3964.0352600000001</v>
      </c>
      <c r="J263" s="127"/>
    </row>
    <row r="264" spans="1:10" ht="14.1" customHeight="1" x14ac:dyDescent="0.25">
      <c r="A264" s="215"/>
      <c r="B264" s="69"/>
      <c r="C264" s="260" t="s">
        <v>21</v>
      </c>
      <c r="D264" s="257">
        <v>3678</v>
      </c>
      <c r="E264" s="257">
        <v>4339</v>
      </c>
      <c r="F264" s="258">
        <f>0</f>
        <v>0</v>
      </c>
      <c r="G264" s="258">
        <f>390.3525</f>
        <v>390.35250000000002</v>
      </c>
      <c r="H264" s="258">
        <f t="shared" si="18"/>
        <v>3948.6475</v>
      </c>
      <c r="I264" s="258">
        <f>832.04145</f>
        <v>832.04145000000005</v>
      </c>
      <c r="J264" s="127"/>
    </row>
    <row r="265" spans="1:10" ht="14.1" customHeight="1" x14ac:dyDescent="0.25">
      <c r="A265" s="215"/>
      <c r="B265" s="69"/>
      <c r="C265" s="260" t="s">
        <v>99</v>
      </c>
      <c r="D265" s="257">
        <v>1506</v>
      </c>
      <c r="E265" s="257">
        <v>1571</v>
      </c>
      <c r="F265" s="258">
        <f>14.65038</f>
        <v>14.65038</v>
      </c>
      <c r="G265" s="258">
        <f>784.06394</f>
        <v>784.06394</v>
      </c>
      <c r="H265" s="258">
        <f t="shared" si="18"/>
        <v>786.93606</v>
      </c>
      <c r="I265" s="258">
        <f>931.81369</f>
        <v>931.81368999999995</v>
      </c>
      <c r="J265" s="127"/>
    </row>
    <row r="266" spans="1:10" ht="14.1" customHeight="1" x14ac:dyDescent="0.25">
      <c r="A266" s="215"/>
      <c r="B266" s="69"/>
      <c r="C266" s="262" t="s">
        <v>122</v>
      </c>
      <c r="D266" s="263">
        <v>5043</v>
      </c>
      <c r="E266" s="263">
        <v>5156</v>
      </c>
      <c r="F266" s="258">
        <f>77.7248</f>
        <v>77.724800000000002</v>
      </c>
      <c r="G266" s="258">
        <f>782.12979</f>
        <v>782.12978999999996</v>
      </c>
      <c r="H266" s="258">
        <f t="shared" si="18"/>
        <v>4373.87021</v>
      </c>
      <c r="I266" s="258">
        <f>209.79166</f>
        <v>209.79166000000001</v>
      </c>
      <c r="J266" s="127"/>
    </row>
    <row r="267" spans="1:10" ht="14.1" customHeight="1" x14ac:dyDescent="0.25">
      <c r="A267" s="215"/>
      <c r="B267" s="69"/>
      <c r="C267" s="265" t="s">
        <v>59</v>
      </c>
      <c r="D267" s="266">
        <v>5500</v>
      </c>
      <c r="E267" s="266">
        <v>5500</v>
      </c>
      <c r="F267" s="268">
        <f>857.11794</f>
        <v>857.11793999999998</v>
      </c>
      <c r="G267" s="268">
        <f>1947.2679</f>
        <v>1947.2679000000001</v>
      </c>
      <c r="H267" s="268">
        <f t="shared" si="18"/>
        <v>3552.7321000000002</v>
      </c>
      <c r="I267" s="268">
        <f>1110.13602</f>
        <v>1110.1360199999999</v>
      </c>
      <c r="J267" s="127"/>
    </row>
    <row r="268" spans="1:10" ht="14.1" customHeight="1" x14ac:dyDescent="0.2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15.70055</v>
      </c>
      <c r="G268" s="269">
        <f>G270+G269</f>
        <v>1127.0893800000001</v>
      </c>
      <c r="H268" s="269">
        <f>E268-G268</f>
        <v>6872.9106199999997</v>
      </c>
      <c r="I268" s="269">
        <f>I270+I269</f>
        <v>1334.41723</v>
      </c>
      <c r="J268" s="127"/>
    </row>
    <row r="269" spans="1:10" ht="14.1" customHeight="1" x14ac:dyDescent="0.25">
      <c r="A269" s="215"/>
      <c r="B269" s="69"/>
      <c r="C269" s="260" t="s">
        <v>53</v>
      </c>
      <c r="D269" s="271"/>
      <c r="E269" s="257"/>
      <c r="F269" s="258">
        <f>0</f>
        <v>0</v>
      </c>
      <c r="G269" s="258">
        <f>447.82058</f>
        <v>447.82058000000001</v>
      </c>
      <c r="H269" s="258"/>
      <c r="I269" s="258">
        <f>518.61546</f>
        <v>518.61545999999998</v>
      </c>
      <c r="J269" s="127"/>
    </row>
    <row r="270" spans="1:10" ht="14.1" customHeight="1" x14ac:dyDescent="0.25">
      <c r="A270" s="215"/>
      <c r="B270" s="69"/>
      <c r="C270" s="273" t="s">
        <v>103</v>
      </c>
      <c r="D270" s="274"/>
      <c r="E270" s="276"/>
      <c r="F270" s="277">
        <f>15.70055</f>
        <v>15.70055</v>
      </c>
      <c r="G270" s="277">
        <f>679.2688</f>
        <v>679.26880000000006</v>
      </c>
      <c r="H270" s="277"/>
      <c r="I270" s="277">
        <f>815.80177</f>
        <v>815.80177000000003</v>
      </c>
      <c r="J270" s="127"/>
    </row>
    <row r="271" spans="1:10" ht="14.1" customHeight="1" x14ac:dyDescent="0.2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" customHeight="1" x14ac:dyDescent="0.25">
      <c r="A272" s="215"/>
      <c r="B272" s="69"/>
      <c r="C272" s="278" t="s">
        <v>104</v>
      </c>
      <c r="D272" s="281"/>
      <c r="E272" s="282"/>
      <c r="F272" s="268">
        <f>0.02136</f>
        <v>2.1360000000000001E-2</v>
      </c>
      <c r="G272" s="268">
        <f>4.03388</f>
        <v>4.0338799999999999</v>
      </c>
      <c r="H272" s="268">
        <f>E272-G272</f>
        <v>-4.0338799999999999</v>
      </c>
      <c r="I272" s="268">
        <f>4.59824</f>
        <v>4.5982399999999997</v>
      </c>
      <c r="J272" s="127"/>
    </row>
    <row r="273" spans="1:10" ht="19.5" customHeight="1" x14ac:dyDescent="0.2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977.36502999999993</v>
      </c>
      <c r="G273" s="286">
        <f t="shared" si="19"/>
        <v>5757.9924600000004</v>
      </c>
      <c r="H273" s="286">
        <f>H262+H267+H268+H271+H272</f>
        <v>35491.007539999999</v>
      </c>
      <c r="I273" s="286">
        <f t="shared" si="19"/>
        <v>8386.85995</v>
      </c>
      <c r="J273" s="127"/>
    </row>
    <row r="274" spans="1:10" ht="14.1" customHeight="1" x14ac:dyDescent="0.2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" customHeight="1" x14ac:dyDescent="0.2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" customHeight="1" x14ac:dyDescent="0.25">
      <c r="A276" s="215"/>
      <c r="B276" s="69"/>
      <c r="C276" s="156" t="s">
        <v>138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2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15"/>
      <c r="C279" s="145" t="s">
        <v>112</v>
      </c>
      <c r="D279" s="152"/>
    </row>
    <row r="280" spans="1:10" ht="14.1" customHeight="1" x14ac:dyDescent="0.2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" customHeight="1" x14ac:dyDescent="0.2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" customHeight="1" x14ac:dyDescent="0.2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15"/>
      <c r="B288" s="69"/>
      <c r="C288" s="307" t="s">
        <v>120</v>
      </c>
      <c r="D288" s="307"/>
      <c r="E288" s="307"/>
      <c r="F288" s="307"/>
      <c r="G288" s="208"/>
      <c r="H288" s="208"/>
      <c r="I288" s="145"/>
      <c r="J288" s="127"/>
    </row>
    <row r="289" spans="1:10" ht="14.1" customHeight="1" x14ac:dyDescent="0.2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25">
      <c r="A293" s="215"/>
      <c r="B293" s="193"/>
      <c r="C293" s="19" t="s">
        <v>107</v>
      </c>
      <c r="D293" s="21" t="s">
        <v>108</v>
      </c>
      <c r="E293" s="19" t="s">
        <v>148</v>
      </c>
      <c r="F293" s="19" t="s">
        <v>149</v>
      </c>
      <c r="G293" s="23" t="s">
        <v>150</v>
      </c>
      <c r="H293" s="19" t="s">
        <v>151</v>
      </c>
      <c r="I293" s="225"/>
      <c r="J293" s="13"/>
    </row>
    <row r="294" spans="1:10" ht="14.1" customHeight="1" x14ac:dyDescent="0.2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" customHeight="1" x14ac:dyDescent="0.2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" customHeight="1" x14ac:dyDescent="0.2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" customHeight="1" x14ac:dyDescent="0.2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" customHeight="1" x14ac:dyDescent="0.25">
      <c r="A298" s="215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" customHeight="1" x14ac:dyDescent="0.25">
      <c r="A299" s="215"/>
      <c r="B299" s="69"/>
      <c r="C299" s="28" t="s">
        <v>11</v>
      </c>
      <c r="D299" s="222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" customHeight="1" x14ac:dyDescent="0.25">
      <c r="A300" s="215"/>
      <c r="B300" s="69"/>
      <c r="C300" s="265" t="s">
        <v>111</v>
      </c>
      <c r="D300" s="9">
        <v>893</v>
      </c>
      <c r="E300" s="34">
        <f>SUM(E301:E302)</f>
        <v>36.887999999999998</v>
      </c>
      <c r="F300" s="34">
        <f>SUM(F301:F302)</f>
        <v>552.76603</v>
      </c>
      <c r="G300" s="82">
        <f>D300-F300</f>
        <v>340.23397</v>
      </c>
      <c r="H300" s="34">
        <f>SUM(H301:H302)</f>
        <v>792.29839000000004</v>
      </c>
      <c r="I300" s="145"/>
      <c r="J300" s="127"/>
    </row>
    <row r="301" spans="1:10" ht="14.1" customHeight="1" x14ac:dyDescent="0.25">
      <c r="A301" s="215"/>
      <c r="B301" s="69"/>
      <c r="C301" s="28" t="s">
        <v>8</v>
      </c>
      <c r="D301" s="41"/>
      <c r="E301" s="29">
        <f>24.8247</f>
        <v>24.8247</v>
      </c>
      <c r="F301" s="29">
        <f>373.11404</f>
        <v>373.11403999999999</v>
      </c>
      <c r="G301" s="94"/>
      <c r="H301" s="29">
        <f>554.65204</f>
        <v>554.65204000000006</v>
      </c>
      <c r="I301" s="145"/>
      <c r="J301" s="127"/>
    </row>
    <row r="302" spans="1:10" ht="14.1" customHeight="1" x14ac:dyDescent="0.25">
      <c r="A302" s="215"/>
      <c r="B302" s="69"/>
      <c r="C302" s="28" t="s">
        <v>11</v>
      </c>
      <c r="D302" s="222"/>
      <c r="E302" s="29">
        <f>12.0633</f>
        <v>12.0633</v>
      </c>
      <c r="F302" s="29">
        <f>179.65199</f>
        <v>179.65199000000001</v>
      </c>
      <c r="G302" s="105"/>
      <c r="H302" s="29">
        <f>237.64635</f>
        <v>237.64635000000001</v>
      </c>
      <c r="I302" s="145"/>
      <c r="J302" s="127"/>
    </row>
    <row r="303" spans="1:10" ht="14.1" customHeight="1" x14ac:dyDescent="0.2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36.887999999999998</v>
      </c>
      <c r="F304" s="39">
        <f>F294+F297+F300+F303</f>
        <v>2562.3411599999999</v>
      </c>
      <c r="G304" s="40">
        <f>D304-F304</f>
        <v>118.65884000000005</v>
      </c>
      <c r="H304" s="39">
        <f>H294+H297+H300+H303</f>
        <v>3002.7425999999996</v>
      </c>
      <c r="I304" s="26"/>
      <c r="J304" s="127"/>
    </row>
    <row r="305" spans="1:10" ht="42" customHeight="1" x14ac:dyDescent="0.25">
      <c r="A305" s="215"/>
      <c r="B305" s="69"/>
      <c r="C305" s="300" t="s">
        <v>115</v>
      </c>
      <c r="D305" s="300"/>
      <c r="E305" s="300"/>
      <c r="F305" s="300"/>
      <c r="G305" s="300"/>
      <c r="H305" s="300"/>
      <c r="I305" s="300"/>
      <c r="J305" s="301"/>
    </row>
    <row r="306" spans="1:10" ht="14.1" customHeight="1" x14ac:dyDescent="0.2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25"/>
    <row r="308" spans="1:10" ht="0" hidden="1" customHeight="1" x14ac:dyDescent="0.25"/>
    <row r="309" spans="1:10" ht="0" hidden="1" customHeight="1" x14ac:dyDescent="0.25"/>
    <row r="310" spans="1:10" ht="0" hidden="1" customHeight="1" x14ac:dyDescent="0.25"/>
    <row r="311" spans="1:10" ht="0" hidden="1" customHeight="1" x14ac:dyDescent="0.25"/>
    <row r="312" spans="1:10" ht="0" hidden="1" customHeight="1" x14ac:dyDescent="0.25"/>
    <row r="313" spans="1:10" ht="0" hidden="1" customHeight="1" x14ac:dyDescent="0.25"/>
    <row r="314" spans="1:10" ht="0" hidden="1" customHeight="1" x14ac:dyDescent="0.25"/>
    <row r="315" spans="1:10" ht="0" hidden="1" customHeight="1" x14ac:dyDescent="0.25"/>
    <row r="316" spans="1:10" ht="0" hidden="1" customHeight="1" x14ac:dyDescent="0.25"/>
    <row r="317" spans="1:10" ht="0" hidden="1" customHeight="1" x14ac:dyDescent="0.25"/>
    <row r="318" spans="1:10" ht="0" hidden="1" customHeight="1" x14ac:dyDescent="0.25"/>
    <row r="319" spans="1:10" ht="0" hidden="1" customHeight="1" x14ac:dyDescent="0.25"/>
    <row r="320" spans="1:10" ht="0" hidden="1" customHeight="1" x14ac:dyDescent="0.25"/>
    <row r="321" ht="0" hidden="1" customHeight="1" x14ac:dyDescent="0.25"/>
    <row r="322" ht="0" hidden="1" customHeight="1" x14ac:dyDescent="0.25"/>
    <row r="323" ht="0" hidden="1" customHeight="1" x14ac:dyDescent="0.25"/>
    <row r="324" ht="0" hidden="1" customHeight="1" x14ac:dyDescent="0.25"/>
    <row r="325" ht="0" hidden="1" customHeight="1" x14ac:dyDescent="0.25"/>
    <row r="326" ht="0" hidden="1" customHeight="1" x14ac:dyDescent="0.25"/>
    <row r="327" ht="0" hidden="1" customHeight="1" x14ac:dyDescent="0.25"/>
    <row r="328" ht="0" hidden="1" customHeight="1" x14ac:dyDescent="0.25"/>
    <row r="329" ht="0" hidden="1" customHeight="1" x14ac:dyDescent="0.25"/>
    <row r="330" ht="0" hidden="1" customHeight="1" x14ac:dyDescent="0.25"/>
    <row r="331" ht="0" hidden="1" customHeight="1" x14ac:dyDescent="0.25"/>
    <row r="332" ht="0" hidden="1" customHeight="1" x14ac:dyDescent="0.25"/>
    <row r="333" ht="0" hidden="1" customHeight="1" x14ac:dyDescent="0.25"/>
    <row r="334" ht="0" hidden="1" customHeight="1" x14ac:dyDescent="0.25"/>
    <row r="335" ht="0" hidden="1" customHeight="1" x14ac:dyDescent="0.25"/>
    <row r="336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15.95" customHeight="1" x14ac:dyDescent="0.25"/>
    <row r="65491" ht="16.5" customHeight="1" x14ac:dyDescent="0.25"/>
  </sheetData>
  <mergeCells count="15"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19&amp;R12.05.2025</oddHeader>
    <oddFooter>&amp;LFiskeridirektoratet&amp;CSeksjon fiskeriregulering&amp;R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cp:lastPrinted>2022-11-14T12:51:47Z</cp:lastPrinted>
  <dcterms:created xsi:type="dcterms:W3CDTF">2022-08-01T13:23:35Z</dcterms:created>
  <dcterms:modified xsi:type="dcterms:W3CDTF">2025-05-12T09:02:15Z</dcterms:modified>
</cp:coreProperties>
</file>