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BDA1BFE2-B5D6-4492-8E86-82D398C7F85E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F345" i="1"/>
  <c r="E345" i="1"/>
  <c r="D345" i="1"/>
  <c r="G344" i="1"/>
  <c r="G345" i="1" s="1"/>
  <c r="G343" i="1"/>
  <c r="E336" i="1"/>
  <c r="D324" i="1"/>
  <c r="H323" i="1"/>
  <c r="G323" i="1"/>
  <c r="F323" i="1"/>
  <c r="F324" i="1" s="1"/>
  <c r="E323" i="1"/>
  <c r="E324" i="1" s="1"/>
  <c r="H322" i="1"/>
  <c r="H324" i="1" s="1"/>
  <c r="F322" i="1"/>
  <c r="G322" i="1" s="1"/>
  <c r="G324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G300" i="1"/>
  <c r="F300" i="1"/>
  <c r="E300" i="1"/>
  <c r="H299" i="1"/>
  <c r="F299" i="1"/>
  <c r="E299" i="1"/>
  <c r="H298" i="1"/>
  <c r="F298" i="1"/>
  <c r="F297" i="1" s="1"/>
  <c r="G297" i="1" s="1"/>
  <c r="E298" i="1"/>
  <c r="E297" i="1" s="1"/>
  <c r="H297" i="1"/>
  <c r="H296" i="1"/>
  <c r="F296" i="1"/>
  <c r="E296" i="1"/>
  <c r="H295" i="1"/>
  <c r="H294" i="1" s="1"/>
  <c r="H304" i="1" s="1"/>
  <c r="F295" i="1"/>
  <c r="F294" i="1" s="1"/>
  <c r="E295" i="1"/>
  <c r="E294" i="1" s="1"/>
  <c r="E304" i="1" s="1"/>
  <c r="I272" i="1"/>
  <c r="G272" i="1"/>
  <c r="H272" i="1" s="1"/>
  <c r="F272" i="1"/>
  <c r="I271" i="1"/>
  <c r="H271" i="1"/>
  <c r="G271" i="1"/>
  <c r="F271" i="1"/>
  <c r="I270" i="1"/>
  <c r="G270" i="1"/>
  <c r="G268" i="1" s="1"/>
  <c r="H268" i="1" s="1"/>
  <c r="F270" i="1"/>
  <c r="F268" i="1" s="1"/>
  <c r="I269" i="1"/>
  <c r="I268" i="1" s="1"/>
  <c r="G269" i="1"/>
  <c r="F269" i="1"/>
  <c r="I267" i="1"/>
  <c r="H267" i="1"/>
  <c r="G267" i="1"/>
  <c r="F267" i="1"/>
  <c r="I266" i="1"/>
  <c r="H266" i="1"/>
  <c r="G266" i="1"/>
  <c r="F266" i="1"/>
  <c r="I265" i="1"/>
  <c r="I262" i="1" s="1"/>
  <c r="H265" i="1"/>
  <c r="H262" i="1" s="1"/>
  <c r="H273" i="1" s="1"/>
  <c r="G265" i="1"/>
  <c r="G262" i="1" s="1"/>
  <c r="G273" i="1" s="1"/>
  <c r="F265" i="1"/>
  <c r="F262" i="1" s="1"/>
  <c r="F273" i="1" s="1"/>
  <c r="I264" i="1"/>
  <c r="H264" i="1"/>
  <c r="G264" i="1"/>
  <c r="F264" i="1"/>
  <c r="I263" i="1"/>
  <c r="H263" i="1"/>
  <c r="G263" i="1"/>
  <c r="F263" i="1"/>
  <c r="E262" i="1"/>
  <c r="E273" i="1" s="1"/>
  <c r="D262" i="1"/>
  <c r="D273" i="1" s="1"/>
  <c r="H254" i="1"/>
  <c r="F254" i="1"/>
  <c r="D241" i="1"/>
  <c r="G241" i="1" s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F241" i="1" s="1"/>
  <c r="E237" i="1"/>
  <c r="E241" i="1" s="1"/>
  <c r="D219" i="1"/>
  <c r="H218" i="1"/>
  <c r="F218" i="1"/>
  <c r="G218" i="1" s="1"/>
  <c r="E218" i="1"/>
  <c r="H217" i="1"/>
  <c r="H215" i="1" s="1"/>
  <c r="H219" i="1" s="1"/>
  <c r="F217" i="1"/>
  <c r="E217" i="1"/>
  <c r="H216" i="1"/>
  <c r="F216" i="1"/>
  <c r="E216" i="1"/>
  <c r="F215" i="1"/>
  <c r="F219" i="1" s="1"/>
  <c r="G219" i="1" s="1"/>
  <c r="E215" i="1"/>
  <c r="E219" i="1" s="1"/>
  <c r="D206" i="1"/>
  <c r="H205" i="1"/>
  <c r="G205" i="1"/>
  <c r="F205" i="1"/>
  <c r="E205" i="1"/>
  <c r="H204" i="1"/>
  <c r="F204" i="1"/>
  <c r="E204" i="1"/>
  <c r="H203" i="1"/>
  <c r="H202" i="1" s="1"/>
  <c r="H206" i="1" s="1"/>
  <c r="F203" i="1"/>
  <c r="F202" i="1" s="1"/>
  <c r="E203" i="1"/>
  <c r="E202" i="1" s="1"/>
  <c r="E206" i="1" s="1"/>
  <c r="G192" i="1"/>
  <c r="H192" i="1" s="1"/>
  <c r="F192" i="1"/>
  <c r="E192" i="1"/>
  <c r="D192" i="1"/>
  <c r="I191" i="1"/>
  <c r="G191" i="1"/>
  <c r="H191" i="1" s="1"/>
  <c r="F191" i="1"/>
  <c r="I190" i="1"/>
  <c r="I192" i="1" s="1"/>
  <c r="H190" i="1"/>
  <c r="G190" i="1"/>
  <c r="F190" i="1"/>
  <c r="I189" i="1"/>
  <c r="G189" i="1"/>
  <c r="H189" i="1" s="1"/>
  <c r="F189" i="1"/>
  <c r="D169" i="1"/>
  <c r="H168" i="1"/>
  <c r="F168" i="1"/>
  <c r="G168" i="1" s="1"/>
  <c r="E168" i="1"/>
  <c r="H167" i="1"/>
  <c r="G167" i="1"/>
  <c r="F167" i="1"/>
  <c r="E167" i="1"/>
  <c r="H166" i="1"/>
  <c r="F166" i="1"/>
  <c r="E166" i="1"/>
  <c r="H165" i="1"/>
  <c r="F165" i="1"/>
  <c r="F163" i="1" s="1"/>
  <c r="G163" i="1" s="1"/>
  <c r="E165" i="1"/>
  <c r="H164" i="1"/>
  <c r="H163" i="1" s="1"/>
  <c r="F164" i="1"/>
  <c r="E164" i="1"/>
  <c r="E163" i="1"/>
  <c r="H162" i="1"/>
  <c r="G162" i="1"/>
  <c r="F162" i="1"/>
  <c r="E162" i="1"/>
  <c r="H161" i="1"/>
  <c r="F161" i="1"/>
  <c r="E161" i="1"/>
  <c r="E169" i="1" s="1"/>
  <c r="H160" i="1"/>
  <c r="H169" i="1" s="1"/>
  <c r="F160" i="1"/>
  <c r="F169" i="1" s="1"/>
  <c r="G169" i="1" s="1"/>
  <c r="E160" i="1"/>
  <c r="I135" i="1"/>
  <c r="G135" i="1"/>
  <c r="H135" i="1" s="1"/>
  <c r="F135" i="1"/>
  <c r="I134" i="1"/>
  <c r="G134" i="1"/>
  <c r="H134" i="1" s="1"/>
  <c r="F134" i="1"/>
  <c r="H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F126" i="1" s="1"/>
  <c r="I127" i="1"/>
  <c r="I126" i="1" s="1"/>
  <c r="I120" i="1" s="1"/>
  <c r="H127" i="1"/>
  <c r="H126" i="1" s="1"/>
  <c r="G127" i="1"/>
  <c r="G126" i="1" s="1"/>
  <c r="F127" i="1"/>
  <c r="E126" i="1"/>
  <c r="D126" i="1"/>
  <c r="I125" i="1"/>
  <c r="H125" i="1"/>
  <c r="G125" i="1"/>
  <c r="F125" i="1"/>
  <c r="I124" i="1"/>
  <c r="G124" i="1"/>
  <c r="H124" i="1" s="1"/>
  <c r="F124" i="1"/>
  <c r="I123" i="1"/>
  <c r="H123" i="1"/>
  <c r="G123" i="1"/>
  <c r="F123" i="1"/>
  <c r="I122" i="1"/>
  <c r="G122" i="1"/>
  <c r="G121" i="1" s="1"/>
  <c r="G120" i="1" s="1"/>
  <c r="F122" i="1"/>
  <c r="F121" i="1" s="1"/>
  <c r="F120" i="1" s="1"/>
  <c r="I121" i="1"/>
  <c r="E121" i="1"/>
  <c r="E120" i="1" s="1"/>
  <c r="E137" i="1" s="1"/>
  <c r="D121" i="1"/>
  <c r="D120" i="1" s="1"/>
  <c r="I119" i="1"/>
  <c r="G119" i="1"/>
  <c r="H119" i="1" s="1"/>
  <c r="F119" i="1"/>
  <c r="I118" i="1"/>
  <c r="H118" i="1"/>
  <c r="G118" i="1"/>
  <c r="F118" i="1"/>
  <c r="I117" i="1"/>
  <c r="G117" i="1"/>
  <c r="H117" i="1" s="1"/>
  <c r="H115" i="1" s="1"/>
  <c r="F117" i="1"/>
  <c r="F115" i="1" s="1"/>
  <c r="F137" i="1" s="1"/>
  <c r="I116" i="1"/>
  <c r="I115" i="1" s="1"/>
  <c r="I137" i="1" s="1"/>
  <c r="H116" i="1"/>
  <c r="G116" i="1"/>
  <c r="F116" i="1"/>
  <c r="E115" i="1"/>
  <c r="D115" i="1"/>
  <c r="C113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G85" i="1"/>
  <c r="H85" i="1" s="1"/>
  <c r="F85" i="1"/>
  <c r="I84" i="1"/>
  <c r="I83" i="1" s="1"/>
  <c r="I82" i="1" s="1"/>
  <c r="G84" i="1"/>
  <c r="H84" i="1" s="1"/>
  <c r="F84" i="1"/>
  <c r="F83" i="1" s="1"/>
  <c r="F82" i="1" s="1"/>
  <c r="F94" i="1" s="1"/>
  <c r="E83" i="1"/>
  <c r="E82" i="1" s="1"/>
  <c r="E94" i="1" s="1"/>
  <c r="D83" i="1"/>
  <c r="D82" i="1" s="1"/>
  <c r="D94" i="1" s="1"/>
  <c r="I81" i="1"/>
  <c r="G81" i="1"/>
  <c r="G79" i="1" s="1"/>
  <c r="F81" i="1"/>
  <c r="I80" i="1"/>
  <c r="G80" i="1"/>
  <c r="H80" i="1" s="1"/>
  <c r="F80" i="1"/>
  <c r="I79" i="1"/>
  <c r="I94" i="1" s="1"/>
  <c r="F79" i="1"/>
  <c r="E79" i="1"/>
  <c r="D79" i="1"/>
  <c r="C76" i="1"/>
  <c r="H72" i="1"/>
  <c r="F72" i="1"/>
  <c r="D72" i="1"/>
  <c r="H58" i="1"/>
  <c r="H57" i="1"/>
  <c r="I52" i="1"/>
  <c r="G52" i="1"/>
  <c r="H52" i="1" s="1"/>
  <c r="F5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H35" i="1" s="1"/>
  <c r="F35" i="1"/>
  <c r="I34" i="1"/>
  <c r="I33" i="1" s="1"/>
  <c r="G34" i="1"/>
  <c r="G33" i="1" s="1"/>
  <c r="F34" i="1"/>
  <c r="E33" i="1"/>
  <c r="D33" i="1"/>
  <c r="I32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I26" i="1" s="1"/>
  <c r="G27" i="1"/>
  <c r="H27" i="1" s="1"/>
  <c r="F27" i="1"/>
  <c r="F26" i="1" s="1"/>
  <c r="E26" i="1"/>
  <c r="E25" i="1" s="1"/>
  <c r="D26" i="1"/>
  <c r="D25" i="1" s="1"/>
  <c r="I24" i="1"/>
  <c r="I22" i="1" s="1"/>
  <c r="G24" i="1"/>
  <c r="H24" i="1" s="1"/>
  <c r="F24" i="1"/>
  <c r="I23" i="1"/>
  <c r="G23" i="1"/>
  <c r="H23" i="1" s="1"/>
  <c r="F23" i="1"/>
  <c r="F22" i="1"/>
  <c r="E22" i="1"/>
  <c r="E42" i="1" s="1"/>
  <c r="D22" i="1"/>
  <c r="D42" i="1" s="1"/>
  <c r="H16" i="1"/>
  <c r="F16" i="1"/>
  <c r="D16" i="1"/>
  <c r="F33" i="1" l="1"/>
  <c r="H34" i="1"/>
  <c r="H33" i="1"/>
  <c r="G202" i="1"/>
  <c r="F206" i="1"/>
  <c r="I25" i="1"/>
  <c r="I42" i="1" s="1"/>
  <c r="H26" i="1"/>
  <c r="F25" i="1"/>
  <c r="F42" i="1" s="1"/>
  <c r="H22" i="1"/>
  <c r="D137" i="1"/>
  <c r="H25" i="1"/>
  <c r="H83" i="1"/>
  <c r="H82" i="1" s="1"/>
  <c r="F304" i="1"/>
  <c r="G304" i="1" s="1"/>
  <c r="G294" i="1"/>
  <c r="G206" i="1"/>
  <c r="I273" i="1"/>
  <c r="H81" i="1"/>
  <c r="H79" i="1" s="1"/>
  <c r="H94" i="1" s="1"/>
  <c r="G115" i="1"/>
  <c r="G137" i="1" s="1"/>
  <c r="H122" i="1"/>
  <c r="H121" i="1" s="1"/>
  <c r="H120" i="1" s="1"/>
  <c r="H137" i="1" s="1"/>
  <c r="G26" i="1"/>
  <c r="G25" i="1" s="1"/>
  <c r="G83" i="1"/>
  <c r="G82" i="1" s="1"/>
  <c r="G94" i="1" s="1"/>
  <c r="G22" i="1"/>
  <c r="G215" i="1"/>
  <c r="G160" i="1"/>
  <c r="G42" i="1" l="1"/>
  <c r="H42" i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<sst xmlns="http://schemas.openxmlformats.org/spreadsheetml/2006/main" count="391" uniqueCount="166">
  <si>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</si>
  <si>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</si>
  <si>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</si>
  <si>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</si>
  <si>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</si>
  <si>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</si>
  <si>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</si>
  <si>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</si>
  <si>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</si>
  <si>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</si>
  <si>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</si>
  <si>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</si>
  <si>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</si>
  <si>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</si>
  <si>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</si>
  <si>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</si>
  <si>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</si>
  <si>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</si>
  <si>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</si>
  <si>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</si>
  <si>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</si>
  <si>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</si>
  <si>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</si>
  <si>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</si>
  <si>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</si>
  <si>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</si>
  <si>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</si>
  <si>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</si>
  <si>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</si>
  <si>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</si>
  <si>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</si>
  <si>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</si>
  <si>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</si>
  <si>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</si>
  <si>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</si>
  <si>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</si>
  <si>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</si>
  <si>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</si>
  <si>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</si>
  <si>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</si>
  <si>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</si>
  <si>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</si>
  <si>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</si>
  <si>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</si>
  <si>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</si>
  <si>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</si>
  <si>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</si>
  <si>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</si>
  <si>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</si>
  <si>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</si>
  <si>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</si>
  <si>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</si>
  <si>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</si>
  <si>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</si>
  <si>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</si>
  <si>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</si>
  <si>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</si>
  <si>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</si>
  <si>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</si>
  <si>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</si>
  <si>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</si>
  <si>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</si>
  <si>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</si>
  <si>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</si>
  <si>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</si>
  <si>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</si>
  <si>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</si>
  <si>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</si>
  <si>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</si>
  <si>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</si>
  <si>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</si>
  <si>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</si>
  <si>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</si>
  <si>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</si>
  <si>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</si>
  <si>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</si>
  <si>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</si>
  <si>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</si>
  <si>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</si>
  <si>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</si>
  <si>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</si>
  <si>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</si>
  <si>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</si>
  <si>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</si>
  <si>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</si>
  <si>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</si>
  <si>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</si>
  <si>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</si>
  <si>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</si>
  <si>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</si>
  <si>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</si>
  <si>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</si>
  <si>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</si>
  <si>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</si>
  <si>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</si>
  <si>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</si>
  <si>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</si>
  <si>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</si>
  <si>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</si>
  <si>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</si>
  <si>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</si>
  <si>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</si>
  <si>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</si>
  <si>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</si>
  <si>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</si>
  <si>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</si>
  <si>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</si>
  <si>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</si>
  <si>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</si>
  <si>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</si>
  <si>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</si>
  <si>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</si>
  <si>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</si>
  <si>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</si>
  <si>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</si>
  <si>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</si>
  <si>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</si>
  <si>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</si>
  <si>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</si>
  <si>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</si>
  <si>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</si>
  <si>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</si>
  <si>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</si>
  <si>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</si>
  <si>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</si>
  <si>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</si>
  <si>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</si>
  <si>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</si>
  <si>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</si>
  <si>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</si>
  <si>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</si>
  <si>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</si>
  <si>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</si>
  <si>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</si>
  <si>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</si>
  <si>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</si>
  <si>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</si>
  <si>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</si>
  <si>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</si>
  <si>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</si>
  <si>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</si>
  <si>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</si>
  <si>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</si>
  <si>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</si>
  <si>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</si>
  <si>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</si>
  <si>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</si>
  <si>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</si>
  <si>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</si>
  <si>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</si>
  <si>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</si>
  <si>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</si>
  <si>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</si>
  <si>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</si>
  <si>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</si>
  <si>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</si>
  <si>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</si>
  <si>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</si>
  <si>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15 tonn, men det legges til grunn at hele avsetningen tas</t>
  </si>
  <si>
    <t>4 Registrert rekreasjonsfiske utgjør 74 tonn, men det legges til grunn at hele avsetningen tas</t>
  </si>
  <si>
    <t>3 Registrert rekreasjonsfiske utgjør 162 tonn, men det legges til grunn at hele avsetningen tas</t>
  </si>
  <si>
    <t>FANGST UKE 10</t>
  </si>
  <si>
    <t>FANGST T.O.M UKE 10</t>
  </si>
  <si>
    <t>RESTKVOTER UKE 10</t>
  </si>
  <si>
    <t>FANGST T.O.M UKE 10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</si>
  <si>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</t>
    </r>
    <r>
      <rPr>
        <sz val="9"/>
        <color theme="1"/>
        <rFont val="Calibri"/>
        <family val="2"/>
      </rPr>
      <t xml:space="preserve"> Belastning av notkvoten er ikke beregnet i denne statikken for denne uken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</si>
</sst>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46" zoomScale="160" zoomScaleNormal="160" zoomScaleSheetLayoutView="100" zoomScalePageLayoutView="85" workbookViewId="0">
      <selection activeCell="J152" sqref="J15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31" t="s">
        <v>139</v>
      </c>
      <c r="C2" s="332"/>
      <c r="D2" s="332"/>
      <c r="E2" s="332"/>
      <c r="F2" s="332"/>
      <c r="G2" s="332"/>
      <c r="H2" s="332"/>
      <c r="I2" s="332"/>
      <c r="J2" s="333"/>
    </row>
    <row r="3" spans="1:10" ht="14.85" customHeight="1" x14ac:dyDescent="0.2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2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" customHeight="1" x14ac:dyDescent="0.2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2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2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2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" customHeight="1" x14ac:dyDescent="0.2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2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2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2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2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" customHeight="1" x14ac:dyDescent="0.2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373.70820000000003</v>
      </c>
      <c r="G22" s="27">
        <f t="shared" si="0"/>
        <v>6360.0856000000003</v>
      </c>
      <c r="H22" s="10">
        <f>H24+H23</f>
        <v>26174.914399999998</v>
      </c>
      <c r="I22" s="10">
        <f t="shared" si="0"/>
        <v>7688.335</v>
      </c>
      <c r="J22" s="271"/>
    </row>
    <row r="23" spans="1:10" ht="14.1" customHeight="1" x14ac:dyDescent="0.25">
      <c r="A23" s="1"/>
      <c r="B23" s="281"/>
      <c r="C23" s="43" t="s">
        <v>20</v>
      </c>
      <c r="D23" s="44">
        <v>31785</v>
      </c>
      <c r="E23" s="44"/>
      <c r="F23" s="22">
        <f>354.9807</f>
        <v>354.98070000000001</v>
      </c>
      <c r="G23" s="22">
        <f>6325.0681</f>
        <v>6325.0681000000004</v>
      </c>
      <c r="H23" s="22">
        <f>D23-G23</f>
        <v>25459.9319</v>
      </c>
      <c r="I23" s="22">
        <f>7620.112</f>
        <v>7620.1120000000001</v>
      </c>
      <c r="J23" s="271"/>
    </row>
    <row r="24" spans="1:10" ht="14.1" customHeight="1" x14ac:dyDescent="0.25">
      <c r="A24" s="1"/>
      <c r="B24" s="281"/>
      <c r="C24" s="47" t="s">
        <v>21</v>
      </c>
      <c r="D24" s="218">
        <v>750</v>
      </c>
      <c r="E24" s="218"/>
      <c r="F24" s="165">
        <f>18.7275</f>
        <v>18.727499999999999</v>
      </c>
      <c r="G24" s="22">
        <f>35.0175</f>
        <v>35.017499999999998</v>
      </c>
      <c r="H24" s="22">
        <f>D24-G24</f>
        <v>714.98249999999996</v>
      </c>
      <c r="I24" s="22">
        <f>68.223</f>
        <v>68.222999999999999</v>
      </c>
      <c r="J24" s="271"/>
    </row>
    <row r="25" spans="1:10" ht="14.1" customHeight="1" x14ac:dyDescent="0.2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5260.9654600000003</v>
      </c>
      <c r="G25" s="10">
        <f t="shared" si="1"/>
        <v>37213.529309999998</v>
      </c>
      <c r="H25" s="10">
        <f t="shared" si="1"/>
        <v>58248.470690000002</v>
      </c>
      <c r="I25" s="10">
        <f t="shared" si="1"/>
        <v>44215.404780000004</v>
      </c>
      <c r="J25" s="271"/>
    </row>
    <row r="26" spans="1:10" ht="15" customHeight="1" x14ac:dyDescent="0.2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4593.8323700000001</v>
      </c>
      <c r="G26" s="129">
        <f>G27+G28+G29+G30+G31</f>
        <v>32154.52044</v>
      </c>
      <c r="H26" s="129">
        <f t="shared" ref="H26:I26" si="2">H27+H28+H29+H30+H31</f>
        <v>43333.47956</v>
      </c>
      <c r="I26" s="129">
        <f t="shared" si="2"/>
        <v>37562.996760000002</v>
      </c>
      <c r="J26" s="271"/>
    </row>
    <row r="27" spans="1:10" ht="14.1" customHeight="1" x14ac:dyDescent="0.25">
      <c r="A27" s="192"/>
      <c r="B27" s="176"/>
      <c r="C27" s="60" t="s">
        <v>24</v>
      </c>
      <c r="D27" s="61">
        <v>19164</v>
      </c>
      <c r="E27" s="61"/>
      <c r="F27" s="209">
        <f>1199.2908 - F53</f>
        <v>1199.2908</v>
      </c>
      <c r="G27" s="123">
        <f>7651.60504 - G53</f>
        <v>7651.6050400000004</v>
      </c>
      <c r="H27" s="123">
        <f t="shared" ref="H27:H41" si="3">D27-G27</f>
        <v>11512.39496</v>
      </c>
      <c r="I27" s="123">
        <f>8650.59394 - I53</f>
        <v>8650.5939400000007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19036</v>
      </c>
      <c r="E28" s="61"/>
      <c r="F28" s="123">
        <f>896.6294 - F54</f>
        <v>896.62940000000003</v>
      </c>
      <c r="G28" s="123">
        <f>9194.75121 - G54</f>
        <v>9194.7512100000004</v>
      </c>
      <c r="H28" s="123">
        <f t="shared" si="3"/>
        <v>9841.2487899999996</v>
      </c>
      <c r="I28" s="123">
        <f>10447.51127 - I54</f>
        <v>10447.511270000001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17407</v>
      </c>
      <c r="E29" s="61"/>
      <c r="F29" s="123">
        <f>1446.04784 - F55</f>
        <v>1446.04784</v>
      </c>
      <c r="G29" s="123">
        <f>8383.66681 - G55</f>
        <v>8383.6668100000006</v>
      </c>
      <c r="H29" s="123">
        <f t="shared" si="3"/>
        <v>9023.3331899999994</v>
      </c>
      <c r="I29" s="123">
        <f>10184.06617 - I55</f>
        <v>10184.06617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12796</v>
      </c>
      <c r="E30" s="61"/>
      <c r="F30" s="123">
        <f>1051.86433 - F56</f>
        <v>1051.8643300000001</v>
      </c>
      <c r="G30" s="123">
        <f>6924.49738 - G56</f>
        <v>6924.4973799999998</v>
      </c>
      <c r="H30" s="123">
        <f t="shared" si="3"/>
        <v>5871.5026200000002</v>
      </c>
      <c r="I30" s="123">
        <f>8280.82538 - I56</f>
        <v>8280.8253800000002</v>
      </c>
      <c r="J30" s="63"/>
    </row>
    <row r="31" spans="1:10" ht="14.1" customHeight="1" x14ac:dyDescent="0.2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10717</v>
      </c>
      <c r="E32" s="55"/>
      <c r="F32" s="129">
        <f>156.4153</f>
        <v>156.4153</v>
      </c>
      <c r="G32" s="129">
        <f>2130.29411</f>
        <v>2130.2941099999998</v>
      </c>
      <c r="H32" s="129">
        <f t="shared" si="3"/>
        <v>8586.7058900000011</v>
      </c>
      <c r="I32" s="129">
        <f>3137.37983</f>
        <v>3137.3798299999999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510.71779000000004</v>
      </c>
      <c r="G33" s="129">
        <f>G34+G35</f>
        <v>2928.7147599999998</v>
      </c>
      <c r="H33" s="129">
        <f t="shared" si="3"/>
        <v>6328.2852400000002</v>
      </c>
      <c r="I33" s="129">
        <f>I34+I35</f>
        <v>3515.02819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8392</v>
      </c>
      <c r="E34" s="61"/>
      <c r="F34" s="123">
        <f>571.71779 - F57 - F58</f>
        <v>510.71779000000004</v>
      </c>
      <c r="G34" s="129">
        <f>3278.71476 - G57 - G58</f>
        <v>2928.7147599999998</v>
      </c>
      <c r="H34" s="123">
        <f t="shared" si="3"/>
        <v>5463.2852400000002</v>
      </c>
      <c r="I34" s="123">
        <f>3865.02819 - I57 - I58</f>
        <v>3515.02819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25">
      <c r="A36" s="1"/>
      <c r="B36" s="281"/>
      <c r="C36" s="70" t="s">
        <v>32</v>
      </c>
      <c r="D36" s="140">
        <v>500</v>
      </c>
      <c r="E36" s="140"/>
      <c r="F36" s="136">
        <f>17.0252</f>
        <v>17.025200000000002</v>
      </c>
      <c r="G36" s="136">
        <f>240.926</f>
        <v>240.92599999999999</v>
      </c>
      <c r="H36" s="136">
        <f t="shared" si="3"/>
        <v>259.07400000000001</v>
      </c>
      <c r="I36" s="136">
        <f>207.1672</f>
        <v>207.16720000000001</v>
      </c>
      <c r="J36" s="271"/>
    </row>
    <row r="37" spans="1:10" ht="14.1" customHeight="1" x14ac:dyDescent="0.25">
      <c r="A37" s="1"/>
      <c r="B37" s="281"/>
      <c r="C37" s="70" t="s">
        <v>33</v>
      </c>
      <c r="D37" s="140">
        <v>880</v>
      </c>
      <c r="E37" s="140"/>
      <c r="F37" s="95">
        <f>27.82128</f>
        <v>27.821280000000002</v>
      </c>
      <c r="G37" s="95">
        <f>227.653</f>
        <v>227.65299999999999</v>
      </c>
      <c r="H37" s="95">
        <f t="shared" si="3"/>
        <v>652.34699999999998</v>
      </c>
      <c r="I37" s="95">
        <f>168.46929</f>
        <v>168.46929</v>
      </c>
      <c r="J37" s="271"/>
    </row>
    <row r="38" spans="1:10" ht="17.25" customHeight="1" x14ac:dyDescent="0.25">
      <c r="A38" s="1"/>
      <c r="B38" s="281"/>
      <c r="C38" s="70" t="s">
        <v>34</v>
      </c>
      <c r="D38" s="140">
        <v>3000</v>
      </c>
      <c r="E38" s="140"/>
      <c r="F38" s="95">
        <f>F58</f>
        <v>61</v>
      </c>
      <c r="G38" s="95">
        <f>G58</f>
        <v>350</v>
      </c>
      <c r="H38" s="95">
        <f t="shared" si="3"/>
        <v>2650</v>
      </c>
      <c r="I38" s="95">
        <f>I58</f>
        <v>350</v>
      </c>
      <c r="J38" s="271"/>
    </row>
    <row r="39" spans="1:10" ht="17.25" customHeight="1" x14ac:dyDescent="0.25">
      <c r="A39" s="1"/>
      <c r="B39" s="281"/>
      <c r="C39" s="70" t="s">
        <v>35</v>
      </c>
      <c r="D39" s="140">
        <v>7000</v>
      </c>
      <c r="E39" s="140"/>
      <c r="F39" s="95">
        <f>28.41681</f>
        <v>28.416810000000002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25">
      <c r="A40" s="1"/>
      <c r="B40" s="281"/>
      <c r="C40" s="70" t="s">
        <v>37</v>
      </c>
      <c r="D40" s="140">
        <v>450</v>
      </c>
      <c r="E40" s="140"/>
      <c r="F40" s="95">
        <f>13.7165</f>
        <v>13.7165</v>
      </c>
      <c r="G40" s="95">
        <f>45.20018</f>
        <v>45.200180000000003</v>
      </c>
      <c r="H40" s="95">
        <f t="shared" si="3"/>
        <v>404.79982000000001</v>
      </c>
      <c r="I40" s="95">
        <f>58.58637</f>
        <v>58.586370000000002</v>
      </c>
      <c r="J40" s="271"/>
    </row>
    <row r="41" spans="1:10" ht="14.1" customHeight="1" x14ac:dyDescent="0.25">
      <c r="A41" s="1"/>
      <c r="B41" s="281"/>
      <c r="C41" s="70" t="s">
        <v>38</v>
      </c>
      <c r="D41" s="140"/>
      <c r="E41" s="136"/>
      <c r="F41" s="136">
        <f>0</f>
        <v>0</v>
      </c>
      <c r="G41" s="136">
        <f>229.60325</f>
        <v>229.60325</v>
      </c>
      <c r="H41" s="136">
        <f t="shared" si="3"/>
        <v>-229.60325</v>
      </c>
      <c r="I41" s="136">
        <f>76.10155</f>
        <v>76.101550000000003</v>
      </c>
      <c r="J41" s="271"/>
    </row>
    <row r="42" spans="1:10" ht="16.5" customHeight="1" x14ac:dyDescent="0.2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5782.6534500000007</v>
      </c>
      <c r="G42" s="73">
        <f t="shared" si="4"/>
        <v>44666.997339999994</v>
      </c>
      <c r="H42" s="73">
        <f t="shared" si="4"/>
        <v>95160.002659999984</v>
      </c>
      <c r="I42" s="73">
        <f t="shared" si="4"/>
        <v>52764.064190000005</v>
      </c>
      <c r="J42" s="271"/>
    </row>
    <row r="43" spans="1:10" ht="14.1" customHeight="1" x14ac:dyDescent="0.2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" customHeight="1" x14ac:dyDescent="0.2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25">
      <c r="A49" s="101"/>
      <c r="B49" s="24"/>
      <c r="C49" s="324" t="s">
        <v>138</v>
      </c>
      <c r="D49" s="324"/>
      <c r="E49" s="324"/>
      <c r="F49" s="324"/>
      <c r="G49" s="324"/>
      <c r="H49" s="324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" customHeight="1" x14ac:dyDescent="0.25">
      <c r="A52" s="101"/>
      <c r="B52" s="24"/>
      <c r="C52" s="15" t="s">
        <v>42</v>
      </c>
      <c r="D52" s="325">
        <v>7085</v>
      </c>
      <c r="E52" s="325"/>
      <c r="F52" s="10">
        <f>F56+F55+F54+F53</f>
        <v>0</v>
      </c>
      <c r="G52" s="10">
        <f>G56+G55+G54+G53</f>
        <v>0</v>
      </c>
      <c r="H52" s="325">
        <f>D52-G52</f>
        <v>7085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" customHeight="1" x14ac:dyDescent="0.2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" customHeight="1" x14ac:dyDescent="0.2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/>
      <c r="F58" s="136">
        <v>61</v>
      </c>
      <c r="G58" s="136">
        <v>350</v>
      </c>
      <c r="H58" s="136">
        <f>D58-G58</f>
        <v>2650</v>
      </c>
      <c r="I58" s="136">
        <v>350</v>
      </c>
      <c r="J58" s="117"/>
    </row>
    <row r="59" spans="1:10" ht="14.1" customHeight="1" x14ac:dyDescent="0.2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2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2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" customHeight="1" x14ac:dyDescent="0.2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2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2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2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" customHeight="1" x14ac:dyDescent="0.2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2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2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562.1809199999999</v>
      </c>
      <c r="G79" s="10">
        <f t="shared" si="5"/>
        <v>5201.0816000000004</v>
      </c>
      <c r="H79" s="10">
        <f t="shared" si="5"/>
        <v>23193.918399999999</v>
      </c>
      <c r="I79" s="10">
        <f t="shared" si="5"/>
        <v>2743.97075</v>
      </c>
      <c r="J79" s="271"/>
    </row>
    <row r="80" spans="1:10" ht="15" customHeight="1" x14ac:dyDescent="0.25">
      <c r="A80" s="1"/>
      <c r="B80" s="281"/>
      <c r="C80" s="43" t="s">
        <v>20</v>
      </c>
      <c r="D80" s="44">
        <v>27645</v>
      </c>
      <c r="E80" s="44"/>
      <c r="F80" s="22">
        <f>554.26812</f>
        <v>554.26811999999995</v>
      </c>
      <c r="G80" s="22">
        <f>5173.2286</f>
        <v>5173.2286000000004</v>
      </c>
      <c r="H80" s="22">
        <f>D80-G80</f>
        <v>22471.771399999998</v>
      </c>
      <c r="I80" s="22">
        <f>2726.92715</f>
        <v>2726.92715</v>
      </c>
      <c r="J80" s="271"/>
    </row>
    <row r="81" spans="1:10" ht="14.1" customHeight="1" x14ac:dyDescent="0.25">
      <c r="A81" s="1"/>
      <c r="B81" s="281"/>
      <c r="C81" s="62" t="s">
        <v>21</v>
      </c>
      <c r="D81" s="218">
        <v>750</v>
      </c>
      <c r="E81" s="218"/>
      <c r="F81" s="48">
        <f>7.9128</f>
        <v>7.9127999999999998</v>
      </c>
      <c r="G81" s="48">
        <f>27.853</f>
        <v>27.853000000000002</v>
      </c>
      <c r="H81" s="48">
        <f>D81-G81</f>
        <v>722.14700000000005</v>
      </c>
      <c r="I81" s="48">
        <f>17.0436</f>
        <v>17.043600000000001</v>
      </c>
      <c r="J81" s="271"/>
    </row>
    <row r="82" spans="1:10" ht="15.75" customHeight="1" x14ac:dyDescent="0.2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788.41298000000006</v>
      </c>
      <c r="G82" s="10">
        <f t="shared" si="6"/>
        <v>6431.4995500000005</v>
      </c>
      <c r="H82" s="10">
        <f>H83+H88+H89</f>
        <v>40849.500450000007</v>
      </c>
      <c r="I82" s="10">
        <f t="shared" si="6"/>
        <v>8181.9621200000001</v>
      </c>
      <c r="J82" s="271"/>
    </row>
    <row r="83" spans="1:10" ht="14.1" customHeight="1" x14ac:dyDescent="0.2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712.71881000000008</v>
      </c>
      <c r="G83" s="129">
        <f t="shared" si="7"/>
        <v>4565.9666400000006</v>
      </c>
      <c r="H83" s="129">
        <f t="shared" si="7"/>
        <v>30670.033360000001</v>
      </c>
      <c r="I83" s="129">
        <f t="shared" si="7"/>
        <v>6288.5591000000004</v>
      </c>
      <c r="J83" s="271"/>
    </row>
    <row r="84" spans="1:10" ht="14.1" customHeight="1" x14ac:dyDescent="0.25">
      <c r="A84" s="192"/>
      <c r="B84" s="176"/>
      <c r="C84" s="60" t="s">
        <v>24</v>
      </c>
      <c r="D84" s="61">
        <v>9425</v>
      </c>
      <c r="E84" s="61"/>
      <c r="F84" s="123">
        <f>156.44073</f>
        <v>156.44073</v>
      </c>
      <c r="G84" s="123">
        <f>1672.77848</f>
        <v>1672.7784799999999</v>
      </c>
      <c r="H84" s="123">
        <f t="shared" ref="H84:H93" si="8">D84-G84</f>
        <v>7752.2215200000001</v>
      </c>
      <c r="I84" s="123">
        <f>1716.61674</f>
        <v>1716.6167399999999</v>
      </c>
      <c r="J84" s="271"/>
    </row>
    <row r="85" spans="1:10" ht="14.1" customHeight="1" x14ac:dyDescent="0.25">
      <c r="A85" s="192"/>
      <c r="B85" s="176"/>
      <c r="C85" s="60" t="s">
        <v>48</v>
      </c>
      <c r="D85" s="61">
        <v>9801</v>
      </c>
      <c r="E85" s="61"/>
      <c r="F85" s="123">
        <f>115.81987</f>
        <v>115.81986999999999</v>
      </c>
      <c r="G85" s="123">
        <f>1323.5001</f>
        <v>1323.5001</v>
      </c>
      <c r="H85" s="123">
        <f t="shared" si="8"/>
        <v>8477.4999000000007</v>
      </c>
      <c r="I85" s="123">
        <f>1612.12572</f>
        <v>1612.12572</v>
      </c>
      <c r="J85" s="271"/>
    </row>
    <row r="86" spans="1:10" ht="14.1" customHeight="1" x14ac:dyDescent="0.25">
      <c r="A86" s="192"/>
      <c r="B86" s="176"/>
      <c r="C86" s="60" t="s">
        <v>49</v>
      </c>
      <c r="D86" s="61">
        <v>9599</v>
      </c>
      <c r="E86" s="61"/>
      <c r="F86" s="123">
        <f>175.93215</f>
        <v>175.93215000000001</v>
      </c>
      <c r="G86" s="123">
        <f>872.09007</f>
        <v>872.09006999999997</v>
      </c>
      <c r="H86" s="123">
        <f t="shared" si="8"/>
        <v>8726.9099299999998</v>
      </c>
      <c r="I86" s="123">
        <f>1718.72762</f>
        <v>1718.7276199999999</v>
      </c>
      <c r="J86" s="271"/>
    </row>
    <row r="87" spans="1:10" ht="14.1" customHeight="1" x14ac:dyDescent="0.25">
      <c r="A87" s="192"/>
      <c r="B87" s="176"/>
      <c r="C87" s="60" t="s">
        <v>27</v>
      </c>
      <c r="D87" s="61">
        <v>6411</v>
      </c>
      <c r="E87" s="61"/>
      <c r="F87" s="123">
        <f>264.52606</f>
        <v>264.52605999999997</v>
      </c>
      <c r="G87" s="123">
        <f>697.59799</f>
        <v>697.59798999999998</v>
      </c>
      <c r="H87" s="123">
        <f t="shared" si="8"/>
        <v>5713.4020099999998</v>
      </c>
      <c r="I87" s="123">
        <f>1241.08902</f>
        <v>1241.0890199999999</v>
      </c>
      <c r="J87" s="271"/>
    </row>
    <row r="88" spans="1:10" ht="14.1" customHeight="1" x14ac:dyDescent="0.25">
      <c r="A88" s="192"/>
      <c r="B88" s="176"/>
      <c r="C88" s="54" t="s">
        <v>50</v>
      </c>
      <c r="D88" s="55">
        <v>8339</v>
      </c>
      <c r="E88" s="55"/>
      <c r="F88" s="129">
        <f>1.28171</f>
        <v>1.2817099999999999</v>
      </c>
      <c r="G88" s="129">
        <f>1052.64468</f>
        <v>1052.6446800000001</v>
      </c>
      <c r="H88" s="129">
        <f t="shared" si="8"/>
        <v>7286.3553199999997</v>
      </c>
      <c r="I88" s="129">
        <f>1221.40223</f>
        <v>1221.4022299999999</v>
      </c>
      <c r="J88" s="271"/>
    </row>
    <row r="89" spans="1:10" ht="15.75" customHeight="1" x14ac:dyDescent="0.25">
      <c r="A89" s="1"/>
      <c r="B89" s="51"/>
      <c r="C89" s="37" t="s">
        <v>11</v>
      </c>
      <c r="D89" s="59">
        <v>3706</v>
      </c>
      <c r="E89" s="59"/>
      <c r="F89" s="72">
        <f>74.41246</f>
        <v>74.412459999999996</v>
      </c>
      <c r="G89" s="72">
        <f>812.88823</f>
        <v>812.88823000000002</v>
      </c>
      <c r="H89" s="72">
        <f t="shared" si="8"/>
        <v>2893.11177</v>
      </c>
      <c r="I89" s="72">
        <f>672.00079</f>
        <v>672.00079000000005</v>
      </c>
      <c r="J89" s="271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/>
      <c r="F90" s="95">
        <f>0.60652</f>
        <v>0.60651999999999995</v>
      </c>
      <c r="G90" s="95">
        <f>10.47274</f>
        <v>10.47274</v>
      </c>
      <c r="H90" s="95">
        <f t="shared" si="8"/>
        <v>308.52726000000001</v>
      </c>
      <c r="I90" s="95">
        <f>14.91084</f>
        <v>14.91084</v>
      </c>
      <c r="J90" s="271"/>
    </row>
    <row r="91" spans="1:10" ht="18" customHeight="1" x14ac:dyDescent="0.25">
      <c r="A91" s="1"/>
      <c r="B91" s="281"/>
      <c r="C91" s="70" t="s">
        <v>51</v>
      </c>
      <c r="D91" s="140">
        <v>300</v>
      </c>
      <c r="E91" s="140"/>
      <c r="F91" s="136">
        <f>2.19738</f>
        <v>2.1973799999999999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25">
      <c r="A92" s="1"/>
      <c r="B92" s="281"/>
      <c r="C92" s="89" t="s">
        <v>37</v>
      </c>
      <c r="D92" s="140">
        <v>50</v>
      </c>
      <c r="E92" s="140"/>
      <c r="F92" s="95">
        <f>0.13533</f>
        <v>0.13533000000000001</v>
      </c>
      <c r="G92" s="95">
        <f>2.23245</f>
        <v>2.23245</v>
      </c>
      <c r="H92" s="136">
        <f t="shared" si="8"/>
        <v>47.76755</v>
      </c>
      <c r="I92" s="95">
        <f>7.42947</f>
        <v>7.4294700000000002</v>
      </c>
      <c r="J92" s="271"/>
    </row>
    <row r="93" spans="1:10" ht="18" customHeight="1" x14ac:dyDescent="0.25">
      <c r="A93" s="1"/>
      <c r="B93" s="281"/>
      <c r="C93" s="89" t="s">
        <v>52</v>
      </c>
      <c r="D93" s="140"/>
      <c r="E93" s="136"/>
      <c r="F93" s="136">
        <f>0</f>
        <v>0</v>
      </c>
      <c r="G93" s="136">
        <f>14.56286</f>
        <v>14.562860000000001</v>
      </c>
      <c r="H93" s="136">
        <f t="shared" si="8"/>
        <v>-14.562860000000001</v>
      </c>
      <c r="I93" s="136">
        <f>7.0124</f>
        <v>7.0124000000000004</v>
      </c>
      <c r="J93" s="271"/>
    </row>
    <row r="94" spans="1:10" ht="16.5" customHeight="1" x14ac:dyDescent="0.2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1353.53313</v>
      </c>
      <c r="G94" s="73">
        <f t="shared" si="10"/>
        <v>11659.849200000001</v>
      </c>
      <c r="H94" s="73">
        <f t="shared" si="10"/>
        <v>64685.150800000003</v>
      </c>
      <c r="I94" s="73">
        <f t="shared" si="10"/>
        <v>10955.28558</v>
      </c>
      <c r="J94" s="271"/>
    </row>
    <row r="95" spans="1:10" ht="13.5" customHeight="1" x14ac:dyDescent="0.2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2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2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2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" customHeight="1" x14ac:dyDescent="0.2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" customHeight="1" x14ac:dyDescent="0.2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" customHeight="1" x14ac:dyDescent="0.2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" customHeight="1" x14ac:dyDescent="0.2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2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2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2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" customHeight="1" x14ac:dyDescent="0.2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1599.4280200000001</v>
      </c>
      <c r="G115" s="10">
        <f t="shared" si="11"/>
        <v>8401.7587199999998</v>
      </c>
      <c r="H115" s="10">
        <f t="shared" si="11"/>
        <v>45844.241280000002</v>
      </c>
      <c r="I115" s="10">
        <f t="shared" si="11"/>
        <v>16597.709350000001</v>
      </c>
      <c r="J115" s="271"/>
    </row>
    <row r="116" spans="1:10" ht="14.1" customHeight="1" x14ac:dyDescent="0.25">
      <c r="A116" s="1"/>
      <c r="B116" s="281"/>
      <c r="C116" s="43" t="s">
        <v>20</v>
      </c>
      <c r="D116" s="44">
        <v>43397</v>
      </c>
      <c r="E116" s="44"/>
      <c r="F116" s="22">
        <f>1227.58807</f>
        <v>1227.58807</v>
      </c>
      <c r="G116" s="22">
        <f>7831.94707</f>
        <v>7831.9470700000002</v>
      </c>
      <c r="H116" s="22">
        <f>D116-G116</f>
        <v>35565.052929999998</v>
      </c>
      <c r="I116" s="22">
        <f>15409.37135</f>
        <v>15409.371349999999</v>
      </c>
      <c r="J116" s="271"/>
    </row>
    <row r="117" spans="1:10" ht="15" customHeight="1" x14ac:dyDescent="0.25">
      <c r="A117" s="1"/>
      <c r="B117" s="281"/>
      <c r="C117" s="43" t="s">
        <v>21</v>
      </c>
      <c r="D117" s="44">
        <v>10349</v>
      </c>
      <c r="E117" s="44"/>
      <c r="F117" s="22">
        <f>371.83995</f>
        <v>371.83994999999999</v>
      </c>
      <c r="G117" s="22">
        <f>512.32365</f>
        <v>512.32365000000004</v>
      </c>
      <c r="H117" s="22">
        <f>D117-G117</f>
        <v>9836.6763499999997</v>
      </c>
      <c r="I117" s="22">
        <f>1127.78055</f>
        <v>1127.7805499999999</v>
      </c>
      <c r="J117" s="271"/>
    </row>
    <row r="118" spans="1:10" ht="13.5" customHeight="1" x14ac:dyDescent="0.25">
      <c r="A118" s="1"/>
      <c r="B118" s="281"/>
      <c r="C118" s="47" t="s">
        <v>59</v>
      </c>
      <c r="D118" s="32">
        <v>500</v>
      </c>
      <c r="E118" s="32"/>
      <c r="F118" s="22">
        <f>0</f>
        <v>0</v>
      </c>
      <c r="G118" s="22">
        <f>57.488</f>
        <v>57.488</v>
      </c>
      <c r="H118" s="53">
        <f>D118-G118</f>
        <v>442.512</v>
      </c>
      <c r="I118" s="22">
        <f>60.55745</f>
        <v>60.557450000000003</v>
      </c>
      <c r="J118" s="271"/>
    </row>
    <row r="119" spans="1:10" ht="14.25" customHeight="1" x14ac:dyDescent="0.25">
      <c r="A119" s="65"/>
      <c r="B119" s="75"/>
      <c r="C119" s="85" t="s">
        <v>60</v>
      </c>
      <c r="D119" s="87">
        <v>36653</v>
      </c>
      <c r="E119" s="87"/>
      <c r="F119" s="92">
        <f>0.086</f>
        <v>8.5999999999999993E-2</v>
      </c>
      <c r="G119" s="92">
        <f>93.469</f>
        <v>93.468999999999994</v>
      </c>
      <c r="H119" s="92">
        <f>D119-G119</f>
        <v>36559.531000000003</v>
      </c>
      <c r="I119" s="92">
        <f>23.155</f>
        <v>23.155000000000001</v>
      </c>
      <c r="J119" s="111"/>
    </row>
    <row r="120" spans="1:10" ht="15.75" customHeight="1" x14ac:dyDescent="0.25">
      <c r="A120" s="1"/>
      <c r="B120" s="281"/>
      <c r="C120" s="139" t="s">
        <v>22</v>
      </c>
      <c r="D120" s="140">
        <f>D121+D126+D129</f>
        <v>57110</v>
      </c>
      <c r="E120" s="140">
        <f>E121+E126+E129</f>
        <v>0</v>
      </c>
      <c r="F120" s="91">
        <f>F121+F126+F129</f>
        <v>1006.6182999999999</v>
      </c>
      <c r="G120" s="91">
        <f t="shared" ref="G120" si="12">G121+G126+G129</f>
        <v>13614.11519</v>
      </c>
      <c r="H120" s="91">
        <f>H121+H126+H129</f>
        <v>43495.884810000003</v>
      </c>
      <c r="I120" s="91">
        <f>I121+I126+I129</f>
        <v>23301.19198</v>
      </c>
      <c r="J120" s="117"/>
    </row>
    <row r="121" spans="1:10" ht="14.1" customHeight="1" x14ac:dyDescent="0.2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849.06381999999996</v>
      </c>
      <c r="G121" s="121">
        <f>G122+G123+G125+G124</f>
        <v>11077.181140000001</v>
      </c>
      <c r="H121" s="121">
        <f>H122+H123+H124+H125</f>
        <v>32104.818859999999</v>
      </c>
      <c r="I121" s="121">
        <f>I122+I123+I124+I125</f>
        <v>17720.29449</v>
      </c>
      <c r="J121" s="305"/>
    </row>
    <row r="122" spans="1:10" ht="14.1" customHeight="1" x14ac:dyDescent="0.25">
      <c r="A122" s="192"/>
      <c r="B122" s="122"/>
      <c r="C122" s="60" t="s">
        <v>24</v>
      </c>
      <c r="D122" s="61">
        <v>11476</v>
      </c>
      <c r="E122" s="61"/>
      <c r="F122" s="123">
        <f>168.90728</f>
        <v>168.90727999999999</v>
      </c>
      <c r="G122" s="123">
        <f>3290.94696</f>
        <v>3290.9469600000002</v>
      </c>
      <c r="H122" s="123">
        <f>D122-G122</f>
        <v>8185.0530399999998</v>
      </c>
      <c r="I122" s="123">
        <f>4380.25258</f>
        <v>4380.2525800000003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11835</v>
      </c>
      <c r="E123" s="61"/>
      <c r="F123" s="123">
        <f>315.09709</f>
        <v>315.09708999999998</v>
      </c>
      <c r="G123" s="123">
        <f>3843.57653</f>
        <v>3843.5765299999998</v>
      </c>
      <c r="H123" s="123">
        <f>D123-G123</f>
        <v>7991.4234699999997</v>
      </c>
      <c r="I123" s="123">
        <f>6041.33021</f>
        <v>6041.3302100000001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10473</v>
      </c>
      <c r="E124" s="61"/>
      <c r="F124" s="123">
        <f>242.59812</f>
        <v>242.59811999999999</v>
      </c>
      <c r="G124" s="123">
        <f>2278.46016</f>
        <v>2278.4601600000001</v>
      </c>
      <c r="H124" s="123">
        <f>D124-G124</f>
        <v>8194.5398399999995</v>
      </c>
      <c r="I124" s="123">
        <f>3818.4439</f>
        <v>3818.4439000000002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9398</v>
      </c>
      <c r="E125" s="61"/>
      <c r="F125" s="123">
        <f>122.46133</f>
        <v>122.46133</v>
      </c>
      <c r="G125" s="123">
        <f>1664.19749</f>
        <v>1664.19749</v>
      </c>
      <c r="H125" s="123">
        <f>D125-G125</f>
        <v>7733.8025099999995</v>
      </c>
      <c r="I125" s="123">
        <f>3480.2678</f>
        <v>3480.2678000000001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6128</v>
      </c>
      <c r="E126" s="55">
        <f>E127+E128</f>
        <v>0</v>
      </c>
      <c r="F126" s="129">
        <f>SUM(F127:F128)</f>
        <v>3.17685</v>
      </c>
      <c r="G126" s="129">
        <f>SUM(G127:G128)</f>
        <v>647.64408000000003</v>
      </c>
      <c r="H126" s="129">
        <f>H127+H128</f>
        <v>5480.35592</v>
      </c>
      <c r="I126" s="129">
        <f>SUM(I127:I128)</f>
        <v>3703.9691399999997</v>
      </c>
      <c r="J126" s="130"/>
    </row>
    <row r="127" spans="1:10" ht="14.1" customHeight="1" x14ac:dyDescent="0.25">
      <c r="A127" s="1"/>
      <c r="B127" s="281"/>
      <c r="C127" s="60" t="s">
        <v>62</v>
      </c>
      <c r="D127" s="61">
        <v>5628</v>
      </c>
      <c r="E127" s="61"/>
      <c r="F127" s="123">
        <f>0.867</f>
        <v>0.86699999999999999</v>
      </c>
      <c r="G127" s="123">
        <f>532.58198</f>
        <v>532.58198000000004</v>
      </c>
      <c r="H127" s="123">
        <f t="shared" ref="H127:H135" si="13">D127-G127</f>
        <v>5095.4180200000001</v>
      </c>
      <c r="I127" s="123">
        <f>3617.4624</f>
        <v>3617.4623999999999</v>
      </c>
      <c r="J127" s="117"/>
    </row>
    <row r="128" spans="1:10" ht="15" customHeight="1" x14ac:dyDescent="0.25">
      <c r="A128" s="1"/>
      <c r="B128" s="51"/>
      <c r="C128" s="60" t="s">
        <v>63</v>
      </c>
      <c r="D128" s="61">
        <v>500</v>
      </c>
      <c r="E128" s="61"/>
      <c r="F128" s="123">
        <f>2.30985</f>
        <v>2.30985</v>
      </c>
      <c r="G128" s="123">
        <f>115.0621</f>
        <v>115.0621</v>
      </c>
      <c r="H128" s="123">
        <f t="shared" si="13"/>
        <v>384.93790000000001</v>
      </c>
      <c r="I128" s="123">
        <f>86.50674</f>
        <v>86.506739999999994</v>
      </c>
      <c r="J128" s="131"/>
    </row>
    <row r="129" spans="1:10" ht="15.75" customHeight="1" x14ac:dyDescent="0.25">
      <c r="A129" s="1"/>
      <c r="B129" s="281"/>
      <c r="C129" s="37" t="s">
        <v>11</v>
      </c>
      <c r="D129" s="59">
        <v>7800</v>
      </c>
      <c r="E129" s="59"/>
      <c r="F129" s="72">
        <f>154.37763</f>
        <v>154.37763000000001</v>
      </c>
      <c r="G129" s="72">
        <f>1889.28997</f>
        <v>1889.28997</v>
      </c>
      <c r="H129" s="72">
        <f t="shared" si="13"/>
        <v>5910.7100300000002</v>
      </c>
      <c r="I129" s="72">
        <f>1876.92835</f>
        <v>1876.9283499999999</v>
      </c>
      <c r="J129" s="117"/>
    </row>
    <row r="130" spans="1:10" ht="15.75" customHeight="1" x14ac:dyDescent="0.25">
      <c r="A130" s="1"/>
      <c r="B130" s="281"/>
      <c r="C130" s="139" t="s">
        <v>33</v>
      </c>
      <c r="D130" s="140">
        <v>156</v>
      </c>
      <c r="E130" s="140"/>
      <c r="F130" s="136">
        <f>0.5364</f>
        <v>0.53639999999999999</v>
      </c>
      <c r="G130" s="136">
        <f>11.53335</f>
        <v>11.53335</v>
      </c>
      <c r="H130" s="136">
        <f t="shared" si="13"/>
        <v>144.46664999999999</v>
      </c>
      <c r="I130" s="136">
        <f>9.96575</f>
        <v>9.9657499999999999</v>
      </c>
      <c r="J130" s="117"/>
    </row>
    <row r="131" spans="1:10" ht="15.75" customHeight="1" x14ac:dyDescent="0.2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25">
      <c r="A132" s="1"/>
      <c r="B132" s="281"/>
      <c r="C132" s="137" t="s">
        <v>65</v>
      </c>
      <c r="D132" s="140">
        <v>2000</v>
      </c>
      <c r="E132" s="140"/>
      <c r="F132" s="136">
        <f>12.00632</f>
        <v>12.006320000000001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2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25">
      <c r="A134" s="1"/>
      <c r="B134" s="281"/>
      <c r="C134" s="139" t="s">
        <v>66</v>
      </c>
      <c r="D134" s="140">
        <v>255</v>
      </c>
      <c r="E134" s="140"/>
      <c r="F134" s="95">
        <f>0.1904</f>
        <v>0.19040000000000001</v>
      </c>
      <c r="G134" s="95">
        <f>3.31155</f>
        <v>3.31155</v>
      </c>
      <c r="H134" s="136">
        <f t="shared" si="13"/>
        <v>251.68844999999999</v>
      </c>
      <c r="I134" s="95">
        <f>60.59425</f>
        <v>60.594250000000002</v>
      </c>
      <c r="J134" s="117"/>
    </row>
    <row r="135" spans="1:10" ht="15" customHeight="1" x14ac:dyDescent="0.25">
      <c r="A135" s="1"/>
      <c r="B135" s="281"/>
      <c r="C135" s="139" t="s">
        <v>38</v>
      </c>
      <c r="D135" s="142"/>
      <c r="E135" s="140"/>
      <c r="F135" s="136">
        <f>2.556</f>
        <v>2.556</v>
      </c>
      <c r="G135" s="136">
        <f>99.73895</f>
        <v>99.738950000000003</v>
      </c>
      <c r="H135" s="136">
        <f t="shared" si="13"/>
        <v>-99.738950000000003</v>
      </c>
      <c r="I135" s="136">
        <f>58.96455</f>
        <v>58.964550000000003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0</v>
      </c>
      <c r="F137" s="73">
        <f>F115+F119+F120+F130+F131+F132+F133+F134+F135</f>
        <v>2621.4214399999996</v>
      </c>
      <c r="G137" s="73">
        <f>G115+G119+G120+G130+G131+G132+G133+G134+G135</f>
        <v>22223.926759999998</v>
      </c>
      <c r="H137" s="73">
        <f>H115+H119+H120+H130+H131+H132+H133+H134+H135</f>
        <v>128546.07324000001</v>
      </c>
      <c r="I137" s="73">
        <f>I115+I119+I120+I130+I131+I132+I133+I134+I135</f>
        <v>40051.580880000001</v>
      </c>
      <c r="J137" s="155"/>
    </row>
    <row r="138" spans="1:10" ht="14.25" customHeight="1" x14ac:dyDescent="0.2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25">
      <c r="A140" s="152"/>
      <c r="B140" s="50"/>
      <c r="C140" s="337" t="s">
        <v>165</v>
      </c>
      <c r="D140" s="337"/>
      <c r="E140" s="337"/>
      <c r="F140" s="116"/>
      <c r="G140" s="116"/>
      <c r="H140" s="159"/>
      <c r="I140" s="152"/>
      <c r="J140" s="305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2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2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" customHeight="1" x14ac:dyDescent="0.2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" customHeight="1" x14ac:dyDescent="0.2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" customHeight="1" x14ac:dyDescent="0.2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" customHeight="1" x14ac:dyDescent="0.2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" customHeight="1" x14ac:dyDescent="0.2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2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2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" customHeight="1" x14ac:dyDescent="0.25">
      <c r="A160" s="1"/>
      <c r="B160" s="281"/>
      <c r="C160" s="138" t="s">
        <v>70</v>
      </c>
      <c r="D160" s="91">
        <v>3754</v>
      </c>
      <c r="E160" s="301">
        <f>3.30815</f>
        <v>3.3081499999999999</v>
      </c>
      <c r="F160" s="301">
        <f>288.83712</f>
        <v>288.83712000000003</v>
      </c>
      <c r="G160" s="42">
        <f>D160-F160-F161</f>
        <v>3343.1690199999998</v>
      </c>
      <c r="H160" s="301">
        <f>196.31579</f>
        <v>196.31578999999999</v>
      </c>
      <c r="I160" s="1"/>
      <c r="J160" s="117"/>
    </row>
    <row r="161" spans="1:10" ht="14.1" customHeight="1" x14ac:dyDescent="0.25">
      <c r="A161" s="1"/>
      <c r="B161" s="281"/>
      <c r="C161" s="133" t="s">
        <v>50</v>
      </c>
      <c r="D161" s="175"/>
      <c r="E161" s="148">
        <f>0</f>
        <v>0</v>
      </c>
      <c r="F161" s="148">
        <f>121.99386</f>
        <v>121.99386</v>
      </c>
      <c r="G161" s="219"/>
      <c r="H161" s="148">
        <f>198.69009</f>
        <v>198.69009</v>
      </c>
      <c r="I161" s="1"/>
      <c r="J161" s="117"/>
    </row>
    <row r="162" spans="1:10" ht="15.6" customHeight="1" x14ac:dyDescent="0.2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0.4802</f>
        <v>0.48020000000000002</v>
      </c>
      <c r="G162" s="166">
        <f>D162-F162</f>
        <v>199.5198</v>
      </c>
      <c r="H162" s="166">
        <f>21.25976</f>
        <v>21.25976</v>
      </c>
      <c r="I162" s="1"/>
      <c r="J162" s="117"/>
    </row>
    <row r="163" spans="1:10" ht="14.1" customHeight="1" x14ac:dyDescent="0.25">
      <c r="A163" s="65"/>
      <c r="B163" s="75"/>
      <c r="C163" s="174" t="s">
        <v>72</v>
      </c>
      <c r="D163" s="175">
        <v>5630</v>
      </c>
      <c r="E163" s="175">
        <f>E164+E165+E166</f>
        <v>1.5682800000000001</v>
      </c>
      <c r="F163" s="175">
        <f>F164+F165+F166</f>
        <v>64.804900000000004</v>
      </c>
      <c r="G163" s="175">
        <f>D163-F163</f>
        <v>5565.1950999999999</v>
      </c>
      <c r="H163" s="175">
        <f>H164+H165+H166</f>
        <v>55.16086</v>
      </c>
      <c r="I163" s="65"/>
      <c r="J163" s="111"/>
    </row>
    <row r="164" spans="1:10" ht="14.1" customHeight="1" x14ac:dyDescent="0.25">
      <c r="A164" s="192"/>
      <c r="B164" s="176"/>
      <c r="C164" s="177" t="s">
        <v>73</v>
      </c>
      <c r="D164" s="123"/>
      <c r="E164" s="123">
        <f>0.893</f>
        <v>0.89300000000000002</v>
      </c>
      <c r="F164" s="123">
        <f>21.85508</f>
        <v>21.855080000000001</v>
      </c>
      <c r="G164" s="123"/>
      <c r="H164" s="123">
        <f>18.71964</f>
        <v>18.719639999999998</v>
      </c>
      <c r="I164" s="181"/>
      <c r="J164" s="126"/>
    </row>
    <row r="165" spans="1:10" ht="14.1" customHeight="1" x14ac:dyDescent="0.25">
      <c r="A165" s="192"/>
      <c r="B165" s="176"/>
      <c r="C165" s="177" t="s">
        <v>74</v>
      </c>
      <c r="D165" s="123"/>
      <c r="E165" s="123">
        <f>0.67528</f>
        <v>0.67527999999999999</v>
      </c>
      <c r="F165" s="123">
        <f>33.80648</f>
        <v>33.806480000000001</v>
      </c>
      <c r="G165" s="123"/>
      <c r="H165" s="123">
        <f>20.9615</f>
        <v>20.961500000000001</v>
      </c>
      <c r="I165" s="181"/>
      <c r="J165" s="182"/>
    </row>
    <row r="166" spans="1:10" ht="14.1" customHeight="1" x14ac:dyDescent="0.25">
      <c r="A166" s="192"/>
      <c r="B166" s="176"/>
      <c r="C166" s="183" t="s">
        <v>75</v>
      </c>
      <c r="D166" s="186"/>
      <c r="E166" s="186">
        <f>0</f>
        <v>0</v>
      </c>
      <c r="F166" s="186">
        <f>9.14334</f>
        <v>9.1433400000000002</v>
      </c>
      <c r="G166" s="186"/>
      <c r="H166" s="186">
        <f>15.47972</f>
        <v>15.47972</v>
      </c>
      <c r="I166" s="181"/>
      <c r="J166" s="182"/>
    </row>
    <row r="167" spans="1:10" ht="14.1" customHeight="1" x14ac:dyDescent="0.2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2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4.87643</v>
      </c>
      <c r="F169" s="188">
        <f>F160+F161+F162+F163+F167+F168</f>
        <v>476.59204</v>
      </c>
      <c r="G169" s="188">
        <f>D169-F169</f>
        <v>9198.4079600000005</v>
      </c>
      <c r="H169" s="188">
        <f>H160+H161+H162+H163+H167+H168</f>
        <v>471.42649999999998</v>
      </c>
      <c r="I169" s="159"/>
      <c r="J169" s="155"/>
    </row>
    <row r="170" spans="1:10" ht="42" customHeight="1" x14ac:dyDescent="0.2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2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2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2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81"/>
      <c r="C189" s="90" t="s">
        <v>4</v>
      </c>
      <c r="D189" s="124">
        <v>45561</v>
      </c>
      <c r="E189" s="124"/>
      <c r="F189" s="124">
        <f>122.94608</f>
        <v>122.94607999999999</v>
      </c>
      <c r="G189" s="124">
        <f>13710.4532</f>
        <v>13710.4532</v>
      </c>
      <c r="H189" s="124">
        <f>D189-G189</f>
        <v>31850.5468</v>
      </c>
      <c r="I189" s="124">
        <f>14761.72038</f>
        <v>14761.720380000001</v>
      </c>
      <c r="J189" s="117"/>
    </row>
    <row r="190" spans="1:10" ht="15" customHeight="1" x14ac:dyDescent="0.25">
      <c r="A190" s="1"/>
      <c r="B190" s="281"/>
      <c r="C190" s="90" t="s">
        <v>63</v>
      </c>
      <c r="D190" s="124">
        <v>100</v>
      </c>
      <c r="E190" s="124"/>
      <c r="F190" s="124">
        <f>0.44389</f>
        <v>0.44389000000000001</v>
      </c>
      <c r="G190" s="124">
        <f>3.20075</f>
        <v>3.2007500000000002</v>
      </c>
      <c r="H190" s="124">
        <f>D190-G190</f>
        <v>96.799250000000001</v>
      </c>
      <c r="I190" s="124">
        <f>3.14194</f>
        <v>3.14194</v>
      </c>
      <c r="J190" s="117"/>
    </row>
    <row r="191" spans="1:10" ht="15.75" customHeight="1" x14ac:dyDescent="0.2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2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123.38996999999999</v>
      </c>
      <c r="G192" s="190">
        <f>SUM(G189:G191)</f>
        <v>13713.65395</v>
      </c>
      <c r="H192" s="190">
        <f>D192-G192</f>
        <v>31993.34605</v>
      </c>
      <c r="I192" s="190">
        <f>SUM(I189:I191)</f>
        <v>14764.86232</v>
      </c>
      <c r="J192" s="117"/>
    </row>
    <row r="193" spans="1:10" ht="12" customHeight="1" x14ac:dyDescent="0.2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2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81"/>
      <c r="C202" s="90" t="s">
        <v>112</v>
      </c>
      <c r="D202" s="124">
        <v>3202</v>
      </c>
      <c r="E202" s="72">
        <f>E203+E204</f>
        <v>52.802039999999998</v>
      </c>
      <c r="F202" s="72">
        <f>F203+F204</f>
        <v>1379.3802800000001</v>
      </c>
      <c r="G202" s="72">
        <f>D202-F202</f>
        <v>1822.6197199999999</v>
      </c>
      <c r="H202" s="72">
        <f>H203+H204</f>
        <v>771.45537999999999</v>
      </c>
      <c r="I202" s="275"/>
      <c r="J202" s="117"/>
    </row>
    <row r="203" spans="1:10" ht="15" customHeight="1" x14ac:dyDescent="0.25">
      <c r="A203" s="1"/>
      <c r="B203" s="281"/>
      <c r="C203" s="172" t="s">
        <v>8</v>
      </c>
      <c r="D203" s="124"/>
      <c r="E203" s="72">
        <f>7.842</f>
        <v>7.8419999999999996</v>
      </c>
      <c r="F203" s="72">
        <f>1115.93686</f>
        <v>1115.93686</v>
      </c>
      <c r="G203" s="72"/>
      <c r="H203" s="72">
        <f>522.42315</f>
        <v>522.42314999999996</v>
      </c>
      <c r="I203" s="275"/>
      <c r="J203" s="117"/>
    </row>
    <row r="204" spans="1:10" ht="15" customHeight="1" x14ac:dyDescent="0.25">
      <c r="A204" s="1"/>
      <c r="B204" s="281"/>
      <c r="C204" s="172" t="s">
        <v>63</v>
      </c>
      <c r="D204" s="124"/>
      <c r="E204" s="124">
        <f>44.96004</f>
        <v>44.960039999999999</v>
      </c>
      <c r="F204" s="124">
        <f>263.44342</f>
        <v>263.44342</v>
      </c>
      <c r="G204" s="168"/>
      <c r="H204" s="124">
        <f>249.03223</f>
        <v>249.03223</v>
      </c>
      <c r="I204" s="275"/>
      <c r="J204" s="117"/>
    </row>
    <row r="205" spans="1:10" ht="15" customHeight="1" x14ac:dyDescent="0.25">
      <c r="A205" s="1"/>
      <c r="B205" s="281"/>
      <c r="C205" s="90" t="s">
        <v>113</v>
      </c>
      <c r="D205" s="124">
        <v>3704</v>
      </c>
      <c r="E205" s="72">
        <f>95.40664</f>
        <v>95.406639999999996</v>
      </c>
      <c r="F205" s="72">
        <f>1007.01651</f>
        <v>1007.01651</v>
      </c>
      <c r="G205" s="72">
        <f>D205-F205</f>
        <v>2696.9834900000001</v>
      </c>
      <c r="H205" s="72">
        <f>754.43632</f>
        <v>754.43632000000002</v>
      </c>
      <c r="I205" s="275"/>
      <c r="J205" s="117"/>
    </row>
    <row r="206" spans="1:10" ht="16.5" customHeight="1" x14ac:dyDescent="0.25">
      <c r="A206" s="1"/>
      <c r="B206" s="281"/>
      <c r="C206" s="179" t="s">
        <v>82</v>
      </c>
      <c r="D206" s="190">
        <f>D205+D202</f>
        <v>6906</v>
      </c>
      <c r="E206" s="190">
        <f>SUM(E202,E205)</f>
        <v>148.20867999999999</v>
      </c>
      <c r="F206" s="190">
        <f>SUM(F202,F205)</f>
        <v>2386.3967900000002</v>
      </c>
      <c r="G206" s="190">
        <f>D206-F206</f>
        <v>4519.6032099999993</v>
      </c>
      <c r="H206" s="190">
        <f>SUM(H202,H205)</f>
        <v>1525.8917000000001</v>
      </c>
      <c r="I206" s="275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2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81"/>
      <c r="C215" s="90" t="s">
        <v>112</v>
      </c>
      <c r="D215" s="124">
        <v>5516</v>
      </c>
      <c r="E215" s="72">
        <f>E216+E217</f>
        <v>20.40042</v>
      </c>
      <c r="F215" s="72">
        <f>F216+F217</f>
        <v>1677.2200699999999</v>
      </c>
      <c r="G215" s="72">
        <f>D215-F215</f>
        <v>3838.7799300000001</v>
      </c>
      <c r="H215" s="72">
        <f>H216+H217</f>
        <v>759.56866000000002</v>
      </c>
      <c r="I215" s="275"/>
      <c r="J215" s="117"/>
    </row>
    <row r="216" spans="1:10" ht="15" customHeight="1" x14ac:dyDescent="0.25">
      <c r="A216" s="1"/>
      <c r="B216" s="281"/>
      <c r="C216" s="172" t="s">
        <v>8</v>
      </c>
      <c r="D216" s="124"/>
      <c r="E216" s="72">
        <f>1.1178</f>
        <v>1.1177999999999999</v>
      </c>
      <c r="F216" s="72">
        <f>1551.62297</f>
        <v>1551.6229699999999</v>
      </c>
      <c r="G216" s="72"/>
      <c r="H216" s="72">
        <f>628.97684</f>
        <v>628.97684000000004</v>
      </c>
      <c r="I216" s="275"/>
      <c r="J216" s="117"/>
    </row>
    <row r="217" spans="1:10" ht="15" customHeight="1" x14ac:dyDescent="0.25">
      <c r="A217" s="1"/>
      <c r="B217" s="281"/>
      <c r="C217" s="172" t="s">
        <v>63</v>
      </c>
      <c r="D217" s="124"/>
      <c r="E217" s="124">
        <f>19.28262</f>
        <v>19.282620000000001</v>
      </c>
      <c r="F217" s="124">
        <f>125.5971</f>
        <v>125.5971</v>
      </c>
      <c r="G217" s="168"/>
      <c r="H217" s="124">
        <f>130.59182</f>
        <v>130.59182000000001</v>
      </c>
      <c r="I217" s="275"/>
      <c r="J217" s="117"/>
    </row>
    <row r="218" spans="1:10" ht="15" customHeight="1" x14ac:dyDescent="0.25">
      <c r="A218" s="1"/>
      <c r="B218" s="281"/>
      <c r="C218" s="90" t="s">
        <v>113</v>
      </c>
      <c r="D218" s="124">
        <v>3232</v>
      </c>
      <c r="E218" s="72">
        <f>60.37471</f>
        <v>60.37471</v>
      </c>
      <c r="F218" s="72">
        <f>1031.73272</f>
        <v>1031.73272</v>
      </c>
      <c r="G218" s="72">
        <f>D218-F218</f>
        <v>2200.26728</v>
      </c>
      <c r="H218" s="72">
        <f>722.08005</f>
        <v>722.08005000000003</v>
      </c>
      <c r="I218" s="275"/>
      <c r="J218" s="117"/>
    </row>
    <row r="219" spans="1:10" ht="16.5" customHeight="1" x14ac:dyDescent="0.25">
      <c r="A219" s="1"/>
      <c r="B219" s="281"/>
      <c r="C219" s="179" t="s">
        <v>82</v>
      </c>
      <c r="D219" s="190">
        <f>D218+D215</f>
        <v>8748</v>
      </c>
      <c r="E219" s="190">
        <f>SUM(E215,E218)</f>
        <v>80.775130000000004</v>
      </c>
      <c r="F219" s="190">
        <f>SUM(F215,F218)</f>
        <v>2708.9527899999998</v>
      </c>
      <c r="G219" s="190">
        <f>D219-F219</f>
        <v>6039.0472100000006</v>
      </c>
      <c r="H219" s="190">
        <f>SUM(H215,H218)</f>
        <v>1481.6487099999999</v>
      </c>
      <c r="I219" s="275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6" customHeight="1" x14ac:dyDescent="0.2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" customHeight="1" x14ac:dyDescent="0.2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" customHeight="1" x14ac:dyDescent="0.2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2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2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" customHeight="1" x14ac:dyDescent="0.2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2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88</v>
      </c>
      <c r="D237" s="124">
        <v>800</v>
      </c>
      <c r="E237" s="124">
        <f>2.11043</f>
        <v>2.11043</v>
      </c>
      <c r="F237" s="124">
        <f>25.12618</f>
        <v>25.126180000000002</v>
      </c>
      <c r="G237" s="124">
        <f>D237-F237</f>
        <v>774.87382000000002</v>
      </c>
      <c r="H237" s="124">
        <f>73.61854</f>
        <v>73.618539999999996</v>
      </c>
      <c r="I237" s="65"/>
      <c r="J237" s="271"/>
    </row>
    <row r="238" spans="1:10" ht="14.1" customHeight="1" x14ac:dyDescent="0.25">
      <c r="A238" s="1"/>
      <c r="B238" s="281"/>
      <c r="C238" s="90" t="s">
        <v>89</v>
      </c>
      <c r="D238" s="273">
        <v>706</v>
      </c>
      <c r="E238" s="124">
        <f>5.18635</f>
        <v>5.18635</v>
      </c>
      <c r="F238" s="124">
        <f>102.35447</f>
        <v>102.35447000000001</v>
      </c>
      <c r="G238" s="124">
        <f>D238-F238</f>
        <v>603.64553000000001</v>
      </c>
      <c r="H238" s="124">
        <f>169.03597</f>
        <v>169.03596999999999</v>
      </c>
      <c r="I238" s="173"/>
      <c r="J238" s="111"/>
    </row>
    <row r="239" spans="1:10" ht="16.5" customHeight="1" x14ac:dyDescent="0.2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0.05414</f>
        <v>5.4140000000000001E-2</v>
      </c>
      <c r="I239" s="65"/>
      <c r="J239" s="276"/>
    </row>
    <row r="240" spans="1:10" ht="18.75" customHeight="1" x14ac:dyDescent="0.25">
      <c r="A240" s="65"/>
      <c r="B240" s="277"/>
      <c r="C240" s="146" t="s">
        <v>90</v>
      </c>
      <c r="D240" s="249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0.018</f>
        <v>1.7999999999999999E-2</v>
      </c>
      <c r="I240" s="309"/>
      <c r="J240" s="117"/>
    </row>
    <row r="241" spans="1:10" ht="14.1" customHeight="1" x14ac:dyDescent="0.25">
      <c r="A241" s="1"/>
      <c r="B241" s="281"/>
      <c r="C241" s="179" t="s">
        <v>82</v>
      </c>
      <c r="D241" s="5">
        <f>D226</f>
        <v>1516</v>
      </c>
      <c r="E241" s="190">
        <f>SUM(E237:E240)</f>
        <v>7.29678</v>
      </c>
      <c r="F241" s="190">
        <f>SUM(F237:F240)</f>
        <v>127.52565000000001</v>
      </c>
      <c r="G241" s="190">
        <f>D241-F241</f>
        <v>1388.47435</v>
      </c>
      <c r="H241" s="190">
        <f>H237+H238+H239+H240</f>
        <v>242.72664999999998</v>
      </c>
      <c r="I241" s="1"/>
      <c r="J241" s="117"/>
    </row>
    <row r="242" spans="1:10" ht="14.1" customHeight="1" x14ac:dyDescent="0.2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108</v>
      </c>
    </row>
    <row r="245" spans="1:10" ht="14.1" customHeight="1" x14ac:dyDescent="0.25">
      <c r="A245" s="1" t="s">
        <v>108</v>
      </c>
    </row>
    <row r="246" spans="1:10" ht="30" customHeight="1" x14ac:dyDescent="0.3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2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2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2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" customHeight="1" x14ac:dyDescent="0.2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35" customHeight="1" x14ac:dyDescent="0.2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35" customHeight="1" x14ac:dyDescent="0.2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2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2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" customHeight="1" x14ac:dyDescent="0.2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12.052200000000001</v>
      </c>
      <c r="G262" s="280">
        <f t="shared" si="15"/>
        <v>401.40512000000001</v>
      </c>
      <c r="H262" s="280">
        <f>H266+H265+H264+H263</f>
        <v>14813.594880000001</v>
      </c>
      <c r="I262" s="280">
        <f t="shared" si="15"/>
        <v>711.05226000000005</v>
      </c>
      <c r="J262" s="127"/>
    </row>
    <row r="263" spans="1:10" ht="14.1" customHeight="1" x14ac:dyDescent="0.25">
      <c r="A263" s="223"/>
      <c r="B263" s="69"/>
      <c r="C263" s="282" t="s">
        <v>98</v>
      </c>
      <c r="D263" s="283">
        <v>7457</v>
      </c>
      <c r="E263" s="283"/>
      <c r="F263" s="284">
        <f>0</f>
        <v>0</v>
      </c>
      <c r="G263" s="284">
        <f>97.32447</f>
        <v>97.324470000000005</v>
      </c>
      <c r="H263" s="284">
        <f t="shared" ref="H263:H268" si="16">D263-G263</f>
        <v>7359.6755300000004</v>
      </c>
      <c r="I263" s="284">
        <f>337.94274</f>
        <v>337.94274000000001</v>
      </c>
      <c r="J263" s="127"/>
    </row>
    <row r="264" spans="1:10" ht="14.1" customHeight="1" x14ac:dyDescent="0.2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0</f>
        <v>0</v>
      </c>
      <c r="H264" s="284">
        <f t="shared" si="16"/>
        <v>1941</v>
      </c>
      <c r="I264" s="284">
        <f>0</f>
        <v>0</v>
      </c>
      <c r="J264" s="127"/>
    </row>
    <row r="265" spans="1:10" ht="14.1" customHeight="1" x14ac:dyDescent="0.25">
      <c r="A265" s="223"/>
      <c r="B265" s="69"/>
      <c r="C265" s="286" t="s">
        <v>95</v>
      </c>
      <c r="D265" s="283">
        <v>1338</v>
      </c>
      <c r="E265" s="283"/>
      <c r="F265" s="284">
        <f>11.0202</f>
        <v>11.020200000000001</v>
      </c>
      <c r="G265" s="284">
        <f>243.13145</f>
        <v>243.13145</v>
      </c>
      <c r="H265" s="284">
        <f t="shared" si="16"/>
        <v>1094.8685499999999</v>
      </c>
      <c r="I265" s="284">
        <f>250.54472</f>
        <v>250.54472000000001</v>
      </c>
      <c r="J265" s="127"/>
    </row>
    <row r="266" spans="1:10" ht="14.1" customHeight="1" x14ac:dyDescent="0.25">
      <c r="A266" s="223"/>
      <c r="B266" s="69"/>
      <c r="C266" s="288" t="s">
        <v>118</v>
      </c>
      <c r="D266" s="289">
        <v>4479</v>
      </c>
      <c r="E266" s="289"/>
      <c r="F266" s="284">
        <f>1.032</f>
        <v>1.032</v>
      </c>
      <c r="G266" s="284">
        <f>60.9492</f>
        <v>60.949199999999998</v>
      </c>
      <c r="H266" s="284">
        <f t="shared" si="16"/>
        <v>4418.0508</v>
      </c>
      <c r="I266" s="284">
        <f>122.5648</f>
        <v>122.56480000000001</v>
      </c>
      <c r="J266" s="127"/>
    </row>
    <row r="267" spans="1:10" ht="14.1" customHeight="1" x14ac:dyDescent="0.25">
      <c r="A267" s="223"/>
      <c r="B267" s="69"/>
      <c r="C267" s="291" t="s">
        <v>56</v>
      </c>
      <c r="D267" s="292">
        <v>5500</v>
      </c>
      <c r="E267" s="292"/>
      <c r="F267" s="294">
        <f>20.271</f>
        <v>20.271000000000001</v>
      </c>
      <c r="G267" s="294">
        <f>27.612</f>
        <v>27.611999999999998</v>
      </c>
      <c r="H267" s="294">
        <f t="shared" si="16"/>
        <v>5472.3879999999999</v>
      </c>
      <c r="I267" s="294">
        <f>19.88</f>
        <v>19.88</v>
      </c>
      <c r="J267" s="127"/>
    </row>
    <row r="268" spans="1:10" ht="14.1" customHeight="1" x14ac:dyDescent="0.25">
      <c r="A268" s="223"/>
      <c r="B268" s="69"/>
      <c r="C268" s="274" t="s">
        <v>22</v>
      </c>
      <c r="D268" s="278">
        <v>8000</v>
      </c>
      <c r="E268" s="278"/>
      <c r="F268" s="295">
        <f>F270+F269</f>
        <v>8.44923</v>
      </c>
      <c r="G268" s="295">
        <f>G270+G269</f>
        <v>670.28031999999996</v>
      </c>
      <c r="H268" s="295">
        <f t="shared" si="16"/>
        <v>7329.7196800000002</v>
      </c>
      <c r="I268" s="295">
        <f>I270+I269</f>
        <v>943.11076000000003</v>
      </c>
      <c r="J268" s="127"/>
    </row>
    <row r="269" spans="1:10" ht="14.1" customHeight="1" x14ac:dyDescent="0.2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304.11017</f>
        <v>304.11016999999998</v>
      </c>
      <c r="H269" s="284"/>
      <c r="I269" s="284">
        <f>446.46788</f>
        <v>446.46787999999998</v>
      </c>
      <c r="J269" s="127"/>
    </row>
    <row r="270" spans="1:10" ht="14.1" customHeight="1" x14ac:dyDescent="0.25">
      <c r="A270" s="223"/>
      <c r="B270" s="69"/>
      <c r="C270" s="299" t="s">
        <v>99</v>
      </c>
      <c r="D270" s="300"/>
      <c r="E270" s="302"/>
      <c r="F270" s="303">
        <f>8.44923</f>
        <v>8.44923</v>
      </c>
      <c r="G270" s="303">
        <f>366.17015</f>
        <v>366.17014999999998</v>
      </c>
      <c r="H270" s="303"/>
      <c r="I270" s="303">
        <f>496.64288</f>
        <v>496.64287999999999</v>
      </c>
      <c r="J270" s="127"/>
    </row>
    <row r="271" spans="1:10" ht="14.1" customHeight="1" x14ac:dyDescent="0.2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0.0135</f>
        <v>1.35E-2</v>
      </c>
      <c r="J271" s="127"/>
    </row>
    <row r="272" spans="1:10" ht="14.1" customHeight="1" x14ac:dyDescent="0.25">
      <c r="A272" s="223"/>
      <c r="B272" s="69"/>
      <c r="C272" s="304" t="s">
        <v>100</v>
      </c>
      <c r="D272" s="307"/>
      <c r="E272" s="308"/>
      <c r="F272" s="294">
        <f>0.441</f>
        <v>0.441</v>
      </c>
      <c r="G272" s="294">
        <f>1.17317</f>
        <v>1.17317</v>
      </c>
      <c r="H272" s="294">
        <f>D272-G272</f>
        <v>-1.17317</v>
      </c>
      <c r="I272" s="294">
        <f>3.47769</f>
        <v>3.4776899999999999</v>
      </c>
      <c r="J272" s="127"/>
    </row>
    <row r="273" spans="1:10" ht="19.5" customHeight="1" x14ac:dyDescent="0.2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41.213430000000002</v>
      </c>
      <c r="G273" s="312">
        <f t="shared" si="17"/>
        <v>1100.4706100000001</v>
      </c>
      <c r="H273" s="312">
        <f>H262+H267+H268+H271+H272</f>
        <v>27627.52939</v>
      </c>
      <c r="I273" s="312">
        <f t="shared" si="17"/>
        <v>1677.53421</v>
      </c>
      <c r="J273" s="127"/>
    </row>
    <row r="274" spans="1:10" ht="14.1" customHeight="1" x14ac:dyDescent="0.2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108</v>
      </c>
      <c r="D279" s="152"/>
    </row>
    <row r="280" spans="1:10" ht="14.1" customHeight="1" x14ac:dyDescent="0.2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" customHeight="1" x14ac:dyDescent="0.2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2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" customHeight="1" x14ac:dyDescent="0.2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925.1269299999999</v>
      </c>
      <c r="G294" s="82">
        <f>D294-F294</f>
        <v>-146.1269299999999</v>
      </c>
      <c r="H294" s="25">
        <f>SUM(H295:H296)</f>
        <v>1023.20588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684.21575</f>
        <v>684.21574999999996</v>
      </c>
      <c r="G295" s="199"/>
      <c r="H295" s="198">
        <f>778.94708</f>
        <v>778.94708000000003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" customHeight="1" x14ac:dyDescent="0.2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651.83910000000003</v>
      </c>
      <c r="G297" s="82">
        <f>D297-F297</f>
        <v>127.16089999999997</v>
      </c>
      <c r="H297" s="25">
        <f>SUM(H298:H299)</f>
        <v>986.35825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512.014</f>
        <v>512.01400000000001</v>
      </c>
      <c r="G298" s="94"/>
      <c r="H298" s="29">
        <f>763.96923</f>
        <v>763.96923000000004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8"/>
      <c r="E299" s="29">
        <f>0</f>
        <v>0</v>
      </c>
      <c r="F299" s="29">
        <f>139.8251</f>
        <v>139.82509999999999</v>
      </c>
      <c r="G299" s="105"/>
      <c r="H299" s="29">
        <f>222.38902</f>
        <v>222.38901999999999</v>
      </c>
      <c r="I299" s="145"/>
      <c r="J299" s="127"/>
    </row>
    <row r="300" spans="1:10" ht="14.1" customHeight="1" x14ac:dyDescent="0.25">
      <c r="A300" s="223"/>
      <c r="B300" s="69"/>
      <c r="C300" s="291" t="s">
        <v>107</v>
      </c>
      <c r="D300" s="9">
        <v>780</v>
      </c>
      <c r="E300" s="34">
        <f>SUM(E301:E302)</f>
        <v>49.913299999999992</v>
      </c>
      <c r="F300" s="34">
        <f>SUM(F301:F302)</f>
        <v>49.913299999999992</v>
      </c>
      <c r="G300" s="82">
        <f>D300-F300</f>
        <v>730.08670000000006</v>
      </c>
      <c r="H300" s="34">
        <f>SUM(H301:H302)</f>
        <v>59.298700000000004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39.782</f>
        <v>39.781999999999996</v>
      </c>
      <c r="F301" s="29">
        <f>39.782</f>
        <v>39.781999999999996</v>
      </c>
      <c r="G301" s="94"/>
      <c r="H301" s="29">
        <f>50.0585</f>
        <v>50.058500000000002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8"/>
      <c r="E302" s="29">
        <f>10.1313</f>
        <v>10.1313</v>
      </c>
      <c r="F302" s="29">
        <f>10.1313</f>
        <v>10.1313</v>
      </c>
      <c r="G302" s="105"/>
      <c r="H302" s="29">
        <f>9.2402</f>
        <v>9.2401999999999997</v>
      </c>
      <c r="I302" s="145"/>
      <c r="J302" s="127"/>
    </row>
    <row r="303" spans="1:10" ht="14.1" customHeight="1" x14ac:dyDescent="0.2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49.913299999999992</v>
      </c>
      <c r="F304" s="39">
        <f>F294+F297+F300+F303</f>
        <v>1626.87933</v>
      </c>
      <c r="G304" s="40">
        <f>D304-F304</f>
        <v>711.12067000000002</v>
      </c>
      <c r="H304" s="39">
        <f>H294+H297+H300+H303</f>
        <v>2068.86283</v>
      </c>
      <c r="I304" s="26"/>
      <c r="J304" s="127"/>
    </row>
    <row r="305" spans="1:10" ht="42" customHeight="1" x14ac:dyDescent="0.2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108</v>
      </c>
      <c r="D307" s="152"/>
    </row>
    <row r="308" spans="1:10" ht="15.6" customHeight="1" x14ac:dyDescent="0.2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8.95" customHeight="1" x14ac:dyDescent="0.2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8.95" customHeight="1" x14ac:dyDescent="0.2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0" t="s">
        <v>155</v>
      </c>
      <c r="D316" s="320"/>
      <c r="E316" s="320"/>
      <c r="F316" s="320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2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600000000000001" customHeight="1" x14ac:dyDescent="0.25">
      <c r="A322" s="223"/>
      <c r="B322" s="69"/>
      <c r="C322" s="236" t="s">
        <v>133</v>
      </c>
      <c r="D322" s="237">
        <v>238</v>
      </c>
      <c r="E322" s="29">
        <f>2.45555</f>
        <v>2.4555500000000001</v>
      </c>
      <c r="F322" s="29">
        <f>55.44154</f>
        <v>55.441540000000003</v>
      </c>
      <c r="G322" s="238">
        <f>D322-F322</f>
        <v>182.55846</v>
      </c>
      <c r="H322" s="29">
        <f>57.80465</f>
        <v>57.804650000000002</v>
      </c>
      <c r="I322" s="242"/>
      <c r="J322" s="127"/>
    </row>
    <row r="323" spans="1:10" ht="17.45" customHeight="1" x14ac:dyDescent="0.25">
      <c r="A323" s="223"/>
      <c r="B323" s="69"/>
      <c r="C323" s="239" t="s">
        <v>134</v>
      </c>
      <c r="D323" s="240">
        <v>21237</v>
      </c>
      <c r="E323" s="29">
        <f>6.84729</f>
        <v>6.8472900000000001</v>
      </c>
      <c r="F323" s="29">
        <f>106.88583</f>
        <v>106.88583</v>
      </c>
      <c r="G323" s="241">
        <f>D323-F323</f>
        <v>21130.114170000001</v>
      </c>
      <c r="H323" s="29">
        <f>123.51321</f>
        <v>123.51321</v>
      </c>
      <c r="I323" s="26"/>
      <c r="J323" s="127"/>
    </row>
    <row r="324" spans="1:10" ht="17.100000000000001" customHeight="1" x14ac:dyDescent="0.25">
      <c r="A324" s="223"/>
      <c r="B324" s="69"/>
      <c r="C324" s="310" t="s">
        <v>82</v>
      </c>
      <c r="D324" s="229">
        <f>D322+D323</f>
        <v>21475</v>
      </c>
      <c r="E324" s="39">
        <f>E323+E322</f>
        <v>9.3028399999999998</v>
      </c>
      <c r="F324" s="39">
        <f>F323+F322</f>
        <v>162.32737</v>
      </c>
      <c r="G324" s="39">
        <f>G323+G322</f>
        <v>21312.672630000001</v>
      </c>
      <c r="H324" s="39">
        <f>H323+H322</f>
        <v>181.31786</v>
      </c>
      <c r="I324" s="26"/>
      <c r="J324" s="127"/>
    </row>
    <row r="325" spans="1:10" ht="22.5" customHeight="1" x14ac:dyDescent="0.25">
      <c r="A325" s="223"/>
      <c r="B325" s="69"/>
      <c r="C325" s="318" t="s">
        <v>156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108</v>
      </c>
      <c r="D328" s="152"/>
    </row>
    <row r="329" spans="1:10" ht="0" hidden="1" customHeight="1" x14ac:dyDescent="0.2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2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7" t="s">
        <v>128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2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2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8" t="s">
        <v>135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20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C140:E140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10&amp;R09.03.2026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2026-03-11T09:19:46Z</dcterms:modified>
</cp:coreProperties>
</file>