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90DB7D8A-D9CD-4D25-8E2A-4F721A5A0BE6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25" i="1"/>
  <c r="G124" i="1"/>
  <c r="H124" i="1" s="1"/>
  <c r="H345" i="1"/>
  <c r="F345" i="1"/>
  <c r="E345" i="1"/>
  <c r="D345" i="1"/>
  <c r="G344" i="1"/>
  <c r="G343" i="1"/>
  <c r="G345" i="1" s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E295" i="1"/>
  <c r="H294" i="1"/>
  <c r="H304" i="1" s="1"/>
  <c r="F294" i="1"/>
  <c r="F304" i="1" s="1"/>
  <c r="E294" i="1"/>
  <c r="E304" i="1" s="1"/>
  <c r="D273" i="1"/>
  <c r="I272" i="1"/>
  <c r="H272" i="1"/>
  <c r="G272" i="1"/>
  <c r="F272" i="1"/>
  <c r="I271" i="1"/>
  <c r="H271" i="1"/>
  <c r="G271" i="1"/>
  <c r="F271" i="1"/>
  <c r="I270" i="1"/>
  <c r="I268" i="1" s="1"/>
  <c r="G270" i="1"/>
  <c r="G268" i="1" s="1"/>
  <c r="H268" i="1" s="1"/>
  <c r="F270" i="1"/>
  <c r="I269" i="1"/>
  <c r="G269" i="1"/>
  <c r="F269" i="1"/>
  <c r="F268" i="1"/>
  <c r="I267" i="1"/>
  <c r="G267" i="1"/>
  <c r="H267" i="1" s="1"/>
  <c r="F267" i="1"/>
  <c r="I266" i="1"/>
  <c r="G266" i="1"/>
  <c r="H266" i="1" s="1"/>
  <c r="F266" i="1"/>
  <c r="I265" i="1"/>
  <c r="I262" i="1" s="1"/>
  <c r="G265" i="1"/>
  <c r="H265" i="1" s="1"/>
  <c r="F265" i="1"/>
  <c r="I264" i="1"/>
  <c r="G264" i="1"/>
  <c r="H264" i="1" s="1"/>
  <c r="F264" i="1"/>
  <c r="F262" i="1" s="1"/>
  <c r="F273" i="1" s="1"/>
  <c r="I263" i="1"/>
  <c r="G263" i="1"/>
  <c r="H263" i="1" s="1"/>
  <c r="F263" i="1"/>
  <c r="G262" i="1"/>
  <c r="G273" i="1" s="1"/>
  <c r="E262" i="1"/>
  <c r="E273" i="1" s="1"/>
  <c r="D262" i="1"/>
  <c r="H254" i="1"/>
  <c r="F254" i="1"/>
  <c r="E241" i="1"/>
  <c r="D241" i="1"/>
  <c r="G241" i="1" s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H241" i="1" s="1"/>
  <c r="F237" i="1"/>
  <c r="F241" i="1" s="1"/>
  <c r="E237" i="1"/>
  <c r="D219" i="1"/>
  <c r="H218" i="1"/>
  <c r="G218" i="1"/>
  <c r="F218" i="1"/>
  <c r="E218" i="1"/>
  <c r="H217" i="1"/>
  <c r="F217" i="1"/>
  <c r="E217" i="1"/>
  <c r="H216" i="1"/>
  <c r="F216" i="1"/>
  <c r="F215" i="1" s="1"/>
  <c r="E216" i="1"/>
  <c r="E215" i="1" s="1"/>
  <c r="E219" i="1" s="1"/>
  <c r="H215" i="1"/>
  <c r="H219" i="1" s="1"/>
  <c r="D206" i="1"/>
  <c r="H205" i="1"/>
  <c r="F205" i="1"/>
  <c r="G205" i="1" s="1"/>
  <c r="E205" i="1"/>
  <c r="H204" i="1"/>
  <c r="F204" i="1"/>
  <c r="F202" i="1" s="1"/>
  <c r="E204" i="1"/>
  <c r="E202" i="1" s="1"/>
  <c r="E206" i="1" s="1"/>
  <c r="H203" i="1"/>
  <c r="H202" i="1" s="1"/>
  <c r="H206" i="1" s="1"/>
  <c r="F203" i="1"/>
  <c r="E203" i="1"/>
  <c r="I192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H189" i="1" s="1"/>
  <c r="F189" i="1"/>
  <c r="F192" i="1" s="1"/>
  <c r="D169" i="1"/>
  <c r="G169" i="1" s="1"/>
  <c r="H168" i="1"/>
  <c r="G168" i="1"/>
  <c r="F168" i="1"/>
  <c r="E168" i="1"/>
  <c r="H167" i="1"/>
  <c r="G167" i="1"/>
  <c r="F167" i="1"/>
  <c r="E167" i="1"/>
  <c r="H166" i="1"/>
  <c r="F166" i="1"/>
  <c r="F163" i="1" s="1"/>
  <c r="G163" i="1" s="1"/>
  <c r="E166" i="1"/>
  <c r="H165" i="1"/>
  <c r="F165" i="1"/>
  <c r="E165" i="1"/>
  <c r="H164" i="1"/>
  <c r="F164" i="1"/>
  <c r="E164" i="1"/>
  <c r="E163" i="1" s="1"/>
  <c r="H163" i="1"/>
  <c r="H162" i="1"/>
  <c r="F162" i="1"/>
  <c r="G162" i="1" s="1"/>
  <c r="E162" i="1"/>
  <c r="H161" i="1"/>
  <c r="H169" i="1" s="1"/>
  <c r="F161" i="1"/>
  <c r="G160" i="1" s="1"/>
  <c r="E161" i="1"/>
  <c r="H160" i="1"/>
  <c r="F160" i="1"/>
  <c r="F169" i="1" s="1"/>
  <c r="E160" i="1"/>
  <c r="E169" i="1" s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G126" i="1" s="1"/>
  <c r="F128" i="1"/>
  <c r="I127" i="1"/>
  <c r="I126" i="1" s="1"/>
  <c r="G127" i="1"/>
  <c r="H127" i="1" s="1"/>
  <c r="F127" i="1"/>
  <c r="F126" i="1"/>
  <c r="E126" i="1"/>
  <c r="D126" i="1"/>
  <c r="I125" i="1"/>
  <c r="H125" i="1"/>
  <c r="F125" i="1"/>
  <c r="I124" i="1"/>
  <c r="F124" i="1"/>
  <c r="I123" i="1"/>
  <c r="G123" i="1"/>
  <c r="H123" i="1" s="1"/>
  <c r="F123" i="1"/>
  <c r="I122" i="1"/>
  <c r="I121" i="1" s="1"/>
  <c r="I120" i="1" s="1"/>
  <c r="H122" i="1"/>
  <c r="G122" i="1"/>
  <c r="F122" i="1"/>
  <c r="F121" i="1"/>
  <c r="F120" i="1" s="1"/>
  <c r="E121" i="1"/>
  <c r="E120" i="1" s="1"/>
  <c r="D121" i="1"/>
  <c r="D120" i="1" s="1"/>
  <c r="I119" i="1"/>
  <c r="H119" i="1"/>
  <c r="F119" i="1"/>
  <c r="I118" i="1"/>
  <c r="G118" i="1"/>
  <c r="H118" i="1" s="1"/>
  <c r="F118" i="1"/>
  <c r="I117" i="1"/>
  <c r="I115" i="1" s="1"/>
  <c r="H117" i="1"/>
  <c r="G117" i="1"/>
  <c r="F117" i="1"/>
  <c r="I116" i="1"/>
  <c r="G116" i="1"/>
  <c r="H116" i="1" s="1"/>
  <c r="H115" i="1" s="1"/>
  <c r="F116" i="1"/>
  <c r="F115" i="1" s="1"/>
  <c r="F137" i="1" s="1"/>
  <c r="G115" i="1"/>
  <c r="E115" i="1"/>
  <c r="E137" i="1" s="1"/>
  <c r="D115" i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G83" i="1" s="1"/>
  <c r="G82" i="1" s="1"/>
  <c r="F85" i="1"/>
  <c r="I84" i="1"/>
  <c r="I83" i="1" s="1"/>
  <c r="I82" i="1" s="1"/>
  <c r="H84" i="1"/>
  <c r="G84" i="1"/>
  <c r="F84" i="1"/>
  <c r="F83" i="1"/>
  <c r="F82" i="1" s="1"/>
  <c r="E83" i="1"/>
  <c r="E82" i="1" s="1"/>
  <c r="D83" i="1"/>
  <c r="D82" i="1"/>
  <c r="I81" i="1"/>
  <c r="H81" i="1"/>
  <c r="G81" i="1"/>
  <c r="F81" i="1"/>
  <c r="I80" i="1"/>
  <c r="G80" i="1"/>
  <c r="G79" i="1" s="1"/>
  <c r="F80" i="1"/>
  <c r="F79" i="1" s="1"/>
  <c r="F94" i="1" s="1"/>
  <c r="I79" i="1"/>
  <c r="E79" i="1"/>
  <c r="E94" i="1" s="1"/>
  <c r="D79" i="1"/>
  <c r="D94" i="1" s="1"/>
  <c r="C76" i="1"/>
  <c r="H72" i="1"/>
  <c r="F72" i="1"/>
  <c r="D72" i="1"/>
  <c r="H58" i="1"/>
  <c r="H57" i="1"/>
  <c r="I52" i="1"/>
  <c r="G52" i="1"/>
  <c r="G31" i="1" s="1"/>
  <c r="H31" i="1" s="1"/>
  <c r="F52" i="1"/>
  <c r="F31" i="1" s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G34" i="1"/>
  <c r="H34" i="1" s="1"/>
  <c r="F34" i="1"/>
  <c r="F33" i="1" s="1"/>
  <c r="I33" i="1"/>
  <c r="G33" i="1"/>
  <c r="H33" i="1" s="1"/>
  <c r="E33" i="1"/>
  <c r="D33" i="1"/>
  <c r="I32" i="1"/>
  <c r="G32" i="1"/>
  <c r="H32" i="1" s="1"/>
  <c r="F32" i="1"/>
  <c r="I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F26" i="1" s="1"/>
  <c r="I27" i="1"/>
  <c r="I26" i="1" s="1"/>
  <c r="H27" i="1"/>
  <c r="H26" i="1" s="1"/>
  <c r="G27" i="1"/>
  <c r="F27" i="1"/>
  <c r="E26" i="1"/>
  <c r="E25" i="1" s="1"/>
  <c r="D26" i="1"/>
  <c r="D25" i="1"/>
  <c r="I24" i="1"/>
  <c r="H24" i="1"/>
  <c r="G24" i="1"/>
  <c r="F24" i="1"/>
  <c r="I23" i="1"/>
  <c r="G23" i="1"/>
  <c r="G22" i="1" s="1"/>
  <c r="F23" i="1"/>
  <c r="F22" i="1" s="1"/>
  <c r="I22" i="1"/>
  <c r="E22" i="1"/>
  <c r="E42" i="1" s="1"/>
  <c r="D22" i="1"/>
  <c r="D42" i="1" s="1"/>
  <c r="H16" i="1"/>
  <c r="F16" i="1"/>
  <c r="D16" i="1"/>
  <c r="G121" i="1" l="1"/>
  <c r="G120" i="1"/>
  <c r="G137" i="1" s="1"/>
  <c r="H121" i="1"/>
  <c r="I94" i="1"/>
  <c r="D137" i="1"/>
  <c r="I273" i="1"/>
  <c r="F25" i="1"/>
  <c r="F42" i="1" s="1"/>
  <c r="H262" i="1"/>
  <c r="H273" i="1" s="1"/>
  <c r="I137" i="1"/>
  <c r="H25" i="1"/>
  <c r="F206" i="1"/>
  <c r="G206" i="1" s="1"/>
  <c r="G202" i="1"/>
  <c r="F219" i="1"/>
  <c r="G219" i="1" s="1"/>
  <c r="G215" i="1"/>
  <c r="G94" i="1"/>
  <c r="I25" i="1"/>
  <c r="I42" i="1" s="1"/>
  <c r="G304" i="1"/>
  <c r="G192" i="1"/>
  <c r="H192" i="1" s="1"/>
  <c r="G323" i="1"/>
  <c r="G324" i="1" s="1"/>
  <c r="H128" i="1"/>
  <c r="H126" i="1" s="1"/>
  <c r="G237" i="1"/>
  <c r="H52" i="1"/>
  <c r="H85" i="1"/>
  <c r="H83" i="1" s="1"/>
  <c r="H82" i="1" s="1"/>
  <c r="G26" i="1"/>
  <c r="G25" i="1" s="1"/>
  <c r="G42" i="1" s="1"/>
  <c r="H23" i="1"/>
  <c r="H22" i="1" s="1"/>
  <c r="H80" i="1"/>
  <c r="H79" i="1" s="1"/>
  <c r="G294" i="1"/>
  <c r="H120" i="1" l="1"/>
  <c r="H137" i="1" s="1"/>
  <c r="H94" i="1"/>
  <c r="H42" i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<sst xmlns="http://schemas.openxmlformats.org/spreadsheetml/2006/main" count="391" uniqueCount="166">
  <si>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</si>
  <si>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</si>
  <si>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</si>
  <si>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</si>
  <si>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</si>
  <si>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</si>
  <si>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</si>
  <si>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</si>
  <si>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</si>
  <si>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</si>
  <si>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</si>
  <si>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</si>
  <si>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</si>
  <si>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</si>
  <si>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</si>
  <si>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</si>
  <si>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</si>
  <si>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</si>
  <si>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</si>
  <si>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</si>
  <si>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</si>
  <si>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</si>
  <si>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</si>
  <si>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</si>
  <si>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</si>
  <si>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</si>
  <si>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</si>
  <si>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</si>
  <si>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</si>
  <si>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</si>
  <si>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</si>
  <si>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</si>
  <si>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</si>
  <si>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</si>
  <si>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</si>
  <si>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</si>
  <si>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</si>
  <si>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</si>
  <si>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</si>
  <si>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</si>
  <si>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</si>
  <si>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</si>
  <si>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</si>
  <si>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</si>
  <si>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</si>
  <si>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</si>
  <si>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</si>
  <si>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</si>
  <si>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</si>
  <si>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</si>
  <si>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</si>
  <si>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</si>
  <si>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</si>
  <si>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</si>
  <si>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</si>
  <si>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</si>
  <si>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</si>
  <si>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</si>
  <si>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</si>
  <si>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</si>
  <si>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</si>
  <si>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</si>
  <si>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</si>
  <si>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</si>
  <si>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</si>
  <si>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</si>
  <si>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</si>
  <si>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</si>
  <si>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</si>
  <si>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</si>
  <si>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</si>
  <si>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</si>
  <si>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</si>
  <si>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</si>
  <si>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</si>
  <si>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</si>
  <si>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</si>
  <si>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</si>
  <si>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</si>
  <si>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</si>
  <si>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</si>
  <si>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</si>
  <si>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</si>
  <si>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</si>
  <si>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</si>
  <si>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</si>
  <si>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</si>
  <si>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</si>
  <si>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</si>
  <si>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</si>
  <si>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</si>
  <si>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</si>
  <si>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</si>
  <si>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</si>
  <si>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</si>
  <si>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</si>
  <si>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</si>
  <si>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</si>
  <si>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</si>
  <si>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</si>
  <si>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</si>
  <si>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</si>
  <si>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</si>
  <si>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</si>
  <si>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</si>
  <si>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</si>
  <si>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</si>
  <si>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</si>
  <si>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</si>
  <si>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</si>
  <si>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</si>
  <si>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</si>
  <si>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</si>
  <si>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</si>
  <si>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</si>
  <si>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</si>
  <si>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</si>
  <si>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</si>
  <si>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</si>
  <si>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</si>
  <si>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</si>
  <si>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</si>
  <si>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</si>
  <si>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</si>
  <si>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</si>
  <si>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</si>
  <si>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</si>
  <si>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</si>
  <si>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</si>
  <si>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</si>
  <si>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</si>
  <si>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</si>
  <si>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</si>
  <si>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</si>
  <si>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</si>
  <si>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</si>
  <si>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</si>
  <si>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</si>
  <si>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</si>
  <si>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</si>
  <si>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</si>
  <si>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</si>
  <si>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</si>
  <si>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</si>
  <si>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</si>
  <si>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</si>
  <si>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</si>
  <si>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</si>
  <si>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</si>
  <si>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</si>
  <si>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</si>
  <si>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</si>
  <si>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</si>
  <si>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</si>
  <si>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</si>
  <si>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</si>
  <si>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</si>
  <si>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</si>
  <si>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27 tonn, men det legges til grunn at hele avsetningen tas</t>
  </si>
  <si>
    <t>4 Registrert rekreasjonsfiske utgjør 112 tonn, men det legges til grunn at hele avsetningen tas</t>
  </si>
  <si>
    <t>3 Registrert rekreasjonsfiske utgjør 350 tonn, men det legges til grunn at hele avsetningen tas</t>
  </si>
  <si>
    <t>FANGST UKE 14</t>
  </si>
  <si>
    <t>FANGST T.O.M UKE 14</t>
  </si>
  <si>
    <t>RESTKVOTER UKE 14</t>
  </si>
  <si>
    <t>FANGST T.O.M UKE 14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</si>
  <si>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174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</si>
</sst>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78" zoomScaleNormal="100" zoomScaleSheetLayoutView="100" zoomScalePageLayoutView="85" workbookViewId="0">
      <selection activeCell="I278" sqref="I278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7" t="s">
        <v>139</v>
      </c>
      <c r="C2" s="318"/>
      <c r="D2" s="318"/>
      <c r="E2" s="318"/>
      <c r="F2" s="318"/>
      <c r="G2" s="318"/>
      <c r="H2" s="318"/>
      <c r="I2" s="318"/>
      <c r="J2" s="319"/>
    </row>
    <row r="3" spans="1:10" ht="14.85" customHeight="1" x14ac:dyDescent="0.2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20"/>
      <c r="C9" s="321"/>
      <c r="D9" s="321"/>
      <c r="E9" s="321"/>
      <c r="F9" s="321"/>
      <c r="G9" s="321"/>
      <c r="H9" s="321"/>
      <c r="I9" s="321"/>
      <c r="J9" s="322"/>
    </row>
    <row r="10" spans="1:10" ht="12" customHeight="1" x14ac:dyDescent="0.2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3" t="s">
        <v>1</v>
      </c>
      <c r="D11" s="324"/>
      <c r="E11" s="323" t="s">
        <v>2</v>
      </c>
      <c r="F11" s="324"/>
      <c r="G11" s="323" t="s">
        <v>3</v>
      </c>
      <c r="H11" s="324"/>
      <c r="I11" s="173"/>
      <c r="J11" s="271"/>
    </row>
    <row r="12" spans="1:10" ht="14.1" customHeight="1" x14ac:dyDescent="0.2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2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2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2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" customHeight="1" x14ac:dyDescent="0.2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25">
      <c r="A17" s="101"/>
      <c r="B17" s="24"/>
      <c r="C17" s="329"/>
      <c r="D17" s="329"/>
      <c r="E17" s="329"/>
      <c r="F17" s="329"/>
      <c r="G17" s="329"/>
      <c r="H17" s="329"/>
      <c r="I17" s="101"/>
      <c r="J17" s="157"/>
    </row>
    <row r="18" spans="1:10" ht="15" customHeight="1" x14ac:dyDescent="0.2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2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2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" customHeight="1" x14ac:dyDescent="0.2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603.86490000000003</v>
      </c>
      <c r="G22" s="27">
        <f t="shared" si="0"/>
        <v>9901.8491900000008</v>
      </c>
      <c r="H22" s="10">
        <f>H24+H23</f>
        <v>22633.150809999999</v>
      </c>
      <c r="I22" s="10">
        <f t="shared" si="0"/>
        <v>14069.53152</v>
      </c>
      <c r="J22" s="271"/>
    </row>
    <row r="23" spans="1:10" ht="14.1" customHeight="1" x14ac:dyDescent="0.25">
      <c r="A23" s="1"/>
      <c r="B23" s="281"/>
      <c r="C23" s="43" t="s">
        <v>20</v>
      </c>
      <c r="D23" s="44">
        <v>31785</v>
      </c>
      <c r="E23" s="44"/>
      <c r="F23" s="22">
        <f>603.8649</f>
        <v>603.86490000000003</v>
      </c>
      <c r="G23" s="22">
        <f>9742.09919</f>
        <v>9742.0991900000008</v>
      </c>
      <c r="H23" s="22">
        <f>D23-G23</f>
        <v>22042.900809999999</v>
      </c>
      <c r="I23" s="22">
        <f>13919.28702</f>
        <v>13919.28702</v>
      </c>
      <c r="J23" s="271"/>
    </row>
    <row r="24" spans="1:10" ht="14.1" customHeight="1" x14ac:dyDescent="0.25">
      <c r="A24" s="1"/>
      <c r="B24" s="281"/>
      <c r="C24" s="47" t="s">
        <v>21</v>
      </c>
      <c r="D24" s="218">
        <v>750</v>
      </c>
      <c r="E24" s="218"/>
      <c r="F24" s="165">
        <f>0</f>
        <v>0</v>
      </c>
      <c r="G24" s="22">
        <f>159.75</f>
        <v>159.75</v>
      </c>
      <c r="H24" s="22">
        <f>D24-G24</f>
        <v>590.25</v>
      </c>
      <c r="I24" s="22">
        <f>150.2445</f>
        <v>150.24449999999999</v>
      </c>
      <c r="J24" s="271"/>
    </row>
    <row r="25" spans="1:10" ht="14.1" customHeight="1" x14ac:dyDescent="0.2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3737.1442599999996</v>
      </c>
      <c r="G25" s="10">
        <f t="shared" si="1"/>
        <v>65921.041260000013</v>
      </c>
      <c r="H25" s="10">
        <f t="shared" si="1"/>
        <v>29540.958739999998</v>
      </c>
      <c r="I25" s="10">
        <f t="shared" si="1"/>
        <v>77827.24093</v>
      </c>
      <c r="J25" s="271"/>
    </row>
    <row r="26" spans="1:10" ht="15" customHeight="1" x14ac:dyDescent="0.2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3015.5026399999997</v>
      </c>
      <c r="G26" s="129">
        <f>G27+G28+G29+G30+G31</f>
        <v>55927.868750000009</v>
      </c>
      <c r="H26" s="129">
        <f t="shared" ref="H26:I26" si="2">H27+H28+H29+H30+H31</f>
        <v>19560.131249999999</v>
      </c>
      <c r="I26" s="129">
        <f t="shared" si="2"/>
        <v>65195.045059999997</v>
      </c>
      <c r="J26" s="271"/>
    </row>
    <row r="27" spans="1:10" ht="14.1" customHeight="1" x14ac:dyDescent="0.25">
      <c r="A27" s="192"/>
      <c r="B27" s="176"/>
      <c r="C27" s="60" t="s">
        <v>24</v>
      </c>
      <c r="D27" s="61">
        <v>19164</v>
      </c>
      <c r="E27" s="61"/>
      <c r="F27" s="209">
        <f>1381.41146 - F53</f>
        <v>1381.41146</v>
      </c>
      <c r="G27" s="123">
        <f>16015.73869 - G53</f>
        <v>16015.73869</v>
      </c>
      <c r="H27" s="123">
        <f t="shared" ref="H27:H41" si="3">D27-G27</f>
        <v>3148.2613099999999</v>
      </c>
      <c r="I27" s="123">
        <f>17616.33822 - I53</f>
        <v>17616.338220000001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19036</v>
      </c>
      <c r="E28" s="61"/>
      <c r="F28" s="123">
        <f>736.94421 - F54</f>
        <v>736.94421</v>
      </c>
      <c r="G28" s="123">
        <f>16508.26938 - G54</f>
        <v>16508.269380000002</v>
      </c>
      <c r="H28" s="123">
        <f t="shared" si="3"/>
        <v>2527.7306199999985</v>
      </c>
      <c r="I28" s="123">
        <f>19030.22866 - I54</f>
        <v>19030.228660000001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17407</v>
      </c>
      <c r="E29" s="61"/>
      <c r="F29" s="123">
        <f>601.27495 - F55</f>
        <v>601.27494999999999</v>
      </c>
      <c r="G29" s="123">
        <f>13543.06227 - G55</f>
        <v>13543.06227</v>
      </c>
      <c r="H29" s="123">
        <f t="shared" si="3"/>
        <v>3863.9377299999996</v>
      </c>
      <c r="I29" s="123">
        <f>16807.45845 - I55</f>
        <v>16807.458449999998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12796</v>
      </c>
      <c r="E30" s="61"/>
      <c r="F30" s="123">
        <f>295.87202 - F56</f>
        <v>295.87202000000002</v>
      </c>
      <c r="G30" s="123">
        <f>9860.79841 - G56</f>
        <v>9860.7984099999994</v>
      </c>
      <c r="H30" s="123">
        <f t="shared" si="3"/>
        <v>2935.2015900000006</v>
      </c>
      <c r="I30" s="123">
        <f>11741.01973 - I56</f>
        <v>11741.01973</v>
      </c>
      <c r="J30" s="63"/>
    </row>
    <row r="31" spans="1:10" ht="14.1" customHeight="1" x14ac:dyDescent="0.2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10717</v>
      </c>
      <c r="E32" s="55"/>
      <c r="F32" s="129">
        <f>10.44152</f>
        <v>10.441520000000001</v>
      </c>
      <c r="G32" s="129">
        <f>3014.43756</f>
        <v>3014.4375599999998</v>
      </c>
      <c r="H32" s="129">
        <f t="shared" si="3"/>
        <v>7702.5624399999997</v>
      </c>
      <c r="I32" s="129">
        <f>4898.05365</f>
        <v>4898.0536499999998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711.20010000000002</v>
      </c>
      <c r="G33" s="129">
        <f>G34+G35</f>
        <v>6978.73495</v>
      </c>
      <c r="H33" s="129">
        <f t="shared" si="3"/>
        <v>2278.26505</v>
      </c>
      <c r="I33" s="129">
        <f>I34+I35</f>
        <v>7734.1422199999997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8392</v>
      </c>
      <c r="E34" s="61"/>
      <c r="F34" s="123">
        <f>912.2001 - F57 - F58</f>
        <v>711.20010000000002</v>
      </c>
      <c r="G34" s="129">
        <f>8443.73495 - G57 - G58</f>
        <v>6978.73495</v>
      </c>
      <c r="H34" s="123">
        <f t="shared" si="3"/>
        <v>1413.26505</v>
      </c>
      <c r="I34" s="123">
        <f>8818.14222 - I57 - I58</f>
        <v>7734.1422199999997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25">
      <c r="A36" s="1"/>
      <c r="B36" s="281"/>
      <c r="C36" s="70" t="s">
        <v>32</v>
      </c>
      <c r="D36" s="140">
        <v>500</v>
      </c>
      <c r="E36" s="140"/>
      <c r="F36" s="136">
        <f>4.9784</f>
        <v>4.9783999999999997</v>
      </c>
      <c r="G36" s="136">
        <f>344.9192</f>
        <v>344.91919999999999</v>
      </c>
      <c r="H36" s="136">
        <f t="shared" si="3"/>
        <v>155.08080000000001</v>
      </c>
      <c r="I36" s="136">
        <f>254.3836</f>
        <v>254.3836</v>
      </c>
      <c r="J36" s="271"/>
    </row>
    <row r="37" spans="1:10" ht="14.1" customHeight="1" x14ac:dyDescent="0.25">
      <c r="A37" s="1"/>
      <c r="B37" s="281"/>
      <c r="C37" s="70" t="s">
        <v>33</v>
      </c>
      <c r="D37" s="140">
        <v>880</v>
      </c>
      <c r="E37" s="140"/>
      <c r="F37" s="95">
        <f>10.3135</f>
        <v>10.313499999999999</v>
      </c>
      <c r="G37" s="95">
        <f>433.5377</f>
        <v>433.53769999999997</v>
      </c>
      <c r="H37" s="95">
        <f t="shared" si="3"/>
        <v>446.46230000000003</v>
      </c>
      <c r="I37" s="95">
        <f>437.91386</f>
        <v>437.91386</v>
      </c>
      <c r="J37" s="271"/>
    </row>
    <row r="38" spans="1:10" ht="17.25" customHeight="1" x14ac:dyDescent="0.25">
      <c r="A38" s="1"/>
      <c r="B38" s="281"/>
      <c r="C38" s="70" t="s">
        <v>34</v>
      </c>
      <c r="D38" s="140">
        <v>3000</v>
      </c>
      <c r="E38" s="140"/>
      <c r="F38" s="95">
        <f>F58</f>
        <v>201</v>
      </c>
      <c r="G38" s="95">
        <f>G58</f>
        <v>1465</v>
      </c>
      <c r="H38" s="95">
        <f t="shared" si="3"/>
        <v>1535</v>
      </c>
      <c r="I38" s="95">
        <f>I58</f>
        <v>1084</v>
      </c>
      <c r="J38" s="271"/>
    </row>
    <row r="39" spans="1:10" ht="17.25" customHeight="1" x14ac:dyDescent="0.25">
      <c r="A39" s="1"/>
      <c r="B39" s="281"/>
      <c r="C39" s="70" t="s">
        <v>35</v>
      </c>
      <c r="D39" s="140">
        <v>7000</v>
      </c>
      <c r="E39" s="140"/>
      <c r="F39" s="95">
        <f>53.63266</f>
        <v>53.632660000000001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25">
      <c r="A40" s="1"/>
      <c r="B40" s="281"/>
      <c r="C40" s="70" t="s">
        <v>37</v>
      </c>
      <c r="D40" s="140">
        <v>450</v>
      </c>
      <c r="E40" s="140"/>
      <c r="F40" s="95">
        <f>45.91745</f>
        <v>45.917450000000002</v>
      </c>
      <c r="G40" s="95">
        <f>274.09643</f>
        <v>274.09643</v>
      </c>
      <c r="H40" s="95">
        <f t="shared" si="3"/>
        <v>175.90357</v>
      </c>
      <c r="I40" s="95">
        <f>248.33593</f>
        <v>248.33592999999999</v>
      </c>
      <c r="J40" s="271"/>
    </row>
    <row r="41" spans="1:10" ht="14.1" customHeight="1" x14ac:dyDescent="0.25">
      <c r="A41" s="1"/>
      <c r="B41" s="281"/>
      <c r="C41" s="70" t="s">
        <v>38</v>
      </c>
      <c r="D41" s="140"/>
      <c r="E41" s="136"/>
      <c r="F41" s="136">
        <f>0</f>
        <v>0</v>
      </c>
      <c r="G41" s="136">
        <f>40.99355</f>
        <v>40.993549999999999</v>
      </c>
      <c r="H41" s="136">
        <f t="shared" si="3"/>
        <v>-40.993549999999999</v>
      </c>
      <c r="I41" s="136">
        <f>49.20208</f>
        <v>49.202080000000002</v>
      </c>
      <c r="J41" s="271"/>
    </row>
    <row r="42" spans="1:10" ht="16.5" customHeight="1" x14ac:dyDescent="0.2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4656.8511699999999</v>
      </c>
      <c r="G42" s="73">
        <f t="shared" si="4"/>
        <v>78381.437330000015</v>
      </c>
      <c r="H42" s="73">
        <f t="shared" si="4"/>
        <v>61445.562669999999</v>
      </c>
      <c r="I42" s="73">
        <f t="shared" si="4"/>
        <v>93970.607920000009</v>
      </c>
      <c r="J42" s="271"/>
    </row>
    <row r="43" spans="1:10" ht="14.1" customHeight="1" x14ac:dyDescent="0.2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" customHeight="1" x14ac:dyDescent="0.2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25">
      <c r="A49" s="101"/>
      <c r="B49" s="24"/>
      <c r="C49" s="332" t="s">
        <v>138</v>
      </c>
      <c r="D49" s="332"/>
      <c r="E49" s="332"/>
      <c r="F49" s="332"/>
      <c r="G49" s="332"/>
      <c r="H49" s="332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" customHeight="1" x14ac:dyDescent="0.25">
      <c r="A52" s="101"/>
      <c r="B52" s="24"/>
      <c r="C52" s="15" t="s">
        <v>42</v>
      </c>
      <c r="D52" s="333">
        <v>7085</v>
      </c>
      <c r="E52" s="333"/>
      <c r="F52" s="10">
        <f>F56+F55+F54+F53</f>
        <v>0</v>
      </c>
      <c r="G52" s="10">
        <f>G56+G55+G54+G53</f>
        <v>0</v>
      </c>
      <c r="H52" s="333">
        <f>D52-G52</f>
        <v>7085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34"/>
      <c r="E53" s="334"/>
      <c r="F53" s="123"/>
      <c r="G53" s="123"/>
      <c r="H53" s="334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34"/>
      <c r="E54" s="334"/>
      <c r="F54" s="123"/>
      <c r="G54" s="123"/>
      <c r="H54" s="334"/>
      <c r="I54" s="123"/>
      <c r="J54" s="271"/>
    </row>
    <row r="55" spans="1:10" ht="14.1" customHeight="1" x14ac:dyDescent="0.25">
      <c r="A55" s="101"/>
      <c r="B55" s="24"/>
      <c r="C55" s="60" t="s">
        <v>26</v>
      </c>
      <c r="D55" s="334"/>
      <c r="E55" s="334"/>
      <c r="F55" s="123"/>
      <c r="G55" s="123"/>
      <c r="H55" s="334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35"/>
      <c r="E56" s="335"/>
      <c r="F56" s="186"/>
      <c r="G56" s="186"/>
      <c r="H56" s="335"/>
      <c r="I56" s="186"/>
      <c r="J56" s="117"/>
    </row>
    <row r="57" spans="1:10" ht="14.1" customHeight="1" x14ac:dyDescent="0.2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/>
      <c r="F58" s="136">
        <v>201</v>
      </c>
      <c r="G58" s="136">
        <v>1465</v>
      </c>
      <c r="H58" s="136">
        <f>D58-G58</f>
        <v>1535</v>
      </c>
      <c r="I58" s="136">
        <v>1084</v>
      </c>
      <c r="J58" s="117"/>
    </row>
    <row r="59" spans="1:10" ht="14.1" customHeight="1" x14ac:dyDescent="0.2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3" t="s">
        <v>1</v>
      </c>
      <c r="D68" s="324"/>
      <c r="E68" s="323" t="s">
        <v>2</v>
      </c>
      <c r="F68" s="336"/>
      <c r="G68" s="323" t="s">
        <v>3</v>
      </c>
      <c r="H68" s="324"/>
      <c r="I68" s="173"/>
      <c r="J68" s="271"/>
    </row>
    <row r="69" spans="1:10" ht="15" customHeight="1" x14ac:dyDescent="0.2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2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" customHeight="1" x14ac:dyDescent="0.2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2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2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2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" customHeight="1" x14ac:dyDescent="0.2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2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2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1860.3933199999999</v>
      </c>
      <c r="G79" s="10">
        <f t="shared" si="5"/>
        <v>12710.74273</v>
      </c>
      <c r="H79" s="10">
        <f t="shared" si="5"/>
        <v>15684.25727</v>
      </c>
      <c r="I79" s="10">
        <f t="shared" si="5"/>
        <v>14292.345229999999</v>
      </c>
      <c r="J79" s="271"/>
    </row>
    <row r="80" spans="1:10" ht="15" customHeight="1" x14ac:dyDescent="0.25">
      <c r="A80" s="1"/>
      <c r="B80" s="281"/>
      <c r="C80" s="43" t="s">
        <v>20</v>
      </c>
      <c r="D80" s="44">
        <v>27645</v>
      </c>
      <c r="E80" s="44"/>
      <c r="F80" s="22">
        <f>1860.39332</f>
        <v>1860.3933199999999</v>
      </c>
      <c r="G80" s="22">
        <f>12484.1934</f>
        <v>12484.1934</v>
      </c>
      <c r="H80" s="22">
        <f>D80-G80</f>
        <v>15160.8066</v>
      </c>
      <c r="I80" s="22">
        <f>14024.80663</f>
        <v>14024.806629999999</v>
      </c>
      <c r="J80" s="271"/>
    </row>
    <row r="81" spans="1:10" ht="14.1" customHeight="1" x14ac:dyDescent="0.25">
      <c r="A81" s="1"/>
      <c r="B81" s="281"/>
      <c r="C81" s="62" t="s">
        <v>21</v>
      </c>
      <c r="D81" s="218">
        <v>750</v>
      </c>
      <c r="E81" s="218"/>
      <c r="F81" s="48">
        <f>0</f>
        <v>0</v>
      </c>
      <c r="G81" s="48">
        <f>226.54933</f>
        <v>226.54933</v>
      </c>
      <c r="H81" s="48">
        <f>D81-G81</f>
        <v>523.45066999999995</v>
      </c>
      <c r="I81" s="48">
        <f>267.5386</f>
        <v>267.53859999999997</v>
      </c>
      <c r="J81" s="271"/>
    </row>
    <row r="82" spans="1:10" ht="15.75" customHeight="1" x14ac:dyDescent="0.2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499.32835</v>
      </c>
      <c r="G82" s="10">
        <f t="shared" si="6"/>
        <v>10831.081840000001</v>
      </c>
      <c r="H82" s="10">
        <f>H83+H88+H89</f>
        <v>36449.918160000001</v>
      </c>
      <c r="I82" s="10">
        <f t="shared" si="6"/>
        <v>14149.988359999999</v>
      </c>
      <c r="J82" s="271"/>
    </row>
    <row r="83" spans="1:10" ht="14.1" customHeight="1" x14ac:dyDescent="0.2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469.23539</v>
      </c>
      <c r="G83" s="129">
        <f t="shared" si="7"/>
        <v>8235.436099999999</v>
      </c>
      <c r="H83" s="129">
        <f t="shared" si="7"/>
        <v>27000.563900000001</v>
      </c>
      <c r="I83" s="129">
        <f t="shared" si="7"/>
        <v>10993.09996</v>
      </c>
      <c r="J83" s="271"/>
    </row>
    <row r="84" spans="1:10" ht="14.1" customHeight="1" x14ac:dyDescent="0.25">
      <c r="A84" s="192"/>
      <c r="B84" s="176"/>
      <c r="C84" s="60" t="s">
        <v>24</v>
      </c>
      <c r="D84" s="61">
        <v>9425</v>
      </c>
      <c r="E84" s="61"/>
      <c r="F84" s="123">
        <f>72.92645</f>
        <v>72.926450000000003</v>
      </c>
      <c r="G84" s="123">
        <f>2007.61768</f>
        <v>2007.6176800000001</v>
      </c>
      <c r="H84" s="123">
        <f t="shared" ref="H84:H93" si="8">D84-G84</f>
        <v>7417.3823199999997</v>
      </c>
      <c r="I84" s="123">
        <f>2174.54819</f>
        <v>2174.54819</v>
      </c>
      <c r="J84" s="271"/>
    </row>
    <row r="85" spans="1:10" ht="14.1" customHeight="1" x14ac:dyDescent="0.25">
      <c r="A85" s="192"/>
      <c r="B85" s="176"/>
      <c r="C85" s="60" t="s">
        <v>48</v>
      </c>
      <c r="D85" s="61">
        <v>9801</v>
      </c>
      <c r="E85" s="61"/>
      <c r="F85" s="123">
        <f>205.40929</f>
        <v>205.40929</v>
      </c>
      <c r="G85" s="123">
        <f>2306.01601</f>
        <v>2306.0160099999998</v>
      </c>
      <c r="H85" s="123">
        <f t="shared" si="8"/>
        <v>7494.9839900000006</v>
      </c>
      <c r="I85" s="123">
        <f>2639.27709</f>
        <v>2639.27709</v>
      </c>
      <c r="J85" s="271"/>
    </row>
    <row r="86" spans="1:10" ht="14.1" customHeight="1" x14ac:dyDescent="0.25">
      <c r="A86" s="192"/>
      <c r="B86" s="176"/>
      <c r="C86" s="60" t="s">
        <v>49</v>
      </c>
      <c r="D86" s="61">
        <v>9599</v>
      </c>
      <c r="E86" s="61"/>
      <c r="F86" s="123">
        <f>119.17019</f>
        <v>119.17019000000001</v>
      </c>
      <c r="G86" s="123">
        <f>2327.03546</f>
        <v>2327.0354600000001</v>
      </c>
      <c r="H86" s="123">
        <f t="shared" si="8"/>
        <v>7271.9645399999999</v>
      </c>
      <c r="I86" s="123">
        <f>3168.77604</f>
        <v>3168.7760400000002</v>
      </c>
      <c r="J86" s="271"/>
    </row>
    <row r="87" spans="1:10" ht="14.1" customHeight="1" x14ac:dyDescent="0.25">
      <c r="A87" s="192"/>
      <c r="B87" s="176"/>
      <c r="C87" s="60" t="s">
        <v>27</v>
      </c>
      <c r="D87" s="61">
        <v>6411</v>
      </c>
      <c r="E87" s="61"/>
      <c r="F87" s="123">
        <f>71.72946</f>
        <v>71.729460000000003</v>
      </c>
      <c r="G87" s="123">
        <f>1594.76695</f>
        <v>1594.76695</v>
      </c>
      <c r="H87" s="123">
        <f t="shared" si="8"/>
        <v>4816.2330499999998</v>
      </c>
      <c r="I87" s="123">
        <f>3010.49864</f>
        <v>3010.4986399999998</v>
      </c>
      <c r="J87" s="271"/>
    </row>
    <row r="88" spans="1:10" ht="14.1" customHeight="1" x14ac:dyDescent="0.25">
      <c r="A88" s="192"/>
      <c r="B88" s="176"/>
      <c r="C88" s="54" t="s">
        <v>50</v>
      </c>
      <c r="D88" s="55">
        <v>8339</v>
      </c>
      <c r="E88" s="55"/>
      <c r="F88" s="129">
        <f>1.4706</f>
        <v>1.4705999999999999</v>
      </c>
      <c r="G88" s="129">
        <f>1560.84083</f>
        <v>1560.8408300000001</v>
      </c>
      <c r="H88" s="129">
        <f t="shared" si="8"/>
        <v>6778.1591699999999</v>
      </c>
      <c r="I88" s="129">
        <f>2289.64956</f>
        <v>2289.6495599999998</v>
      </c>
      <c r="J88" s="271"/>
    </row>
    <row r="89" spans="1:10" ht="15.75" customHeight="1" x14ac:dyDescent="0.25">
      <c r="A89" s="1"/>
      <c r="B89" s="51"/>
      <c r="C89" s="37" t="s">
        <v>11</v>
      </c>
      <c r="D89" s="59">
        <v>3706</v>
      </c>
      <c r="E89" s="59"/>
      <c r="F89" s="72">
        <f>28.62236</f>
        <v>28.62236</v>
      </c>
      <c r="G89" s="72">
        <f>1034.80491</f>
        <v>1034.8049100000001</v>
      </c>
      <c r="H89" s="72">
        <f t="shared" si="8"/>
        <v>2671.1950900000002</v>
      </c>
      <c r="I89" s="72">
        <f>867.23884</f>
        <v>867.23883999999998</v>
      </c>
      <c r="J89" s="271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/>
      <c r="F90" s="95">
        <f>0.014</f>
        <v>1.4E-2</v>
      </c>
      <c r="G90" s="95">
        <f>10.61976</f>
        <v>10.619759999999999</v>
      </c>
      <c r="H90" s="95">
        <f t="shared" si="8"/>
        <v>308.38024000000001</v>
      </c>
      <c r="I90" s="95">
        <f>26.57228</f>
        <v>26.572279999999999</v>
      </c>
      <c r="J90" s="271"/>
    </row>
    <row r="91" spans="1:10" ht="18" customHeight="1" x14ac:dyDescent="0.25">
      <c r="A91" s="1"/>
      <c r="B91" s="281"/>
      <c r="C91" s="70" t="s">
        <v>51</v>
      </c>
      <c r="D91" s="140">
        <v>300</v>
      </c>
      <c r="E91" s="140"/>
      <c r="F91" s="136">
        <f>2.06978</f>
        <v>2.0697800000000002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25">
      <c r="A92" s="1"/>
      <c r="B92" s="281"/>
      <c r="C92" s="89" t="s">
        <v>37</v>
      </c>
      <c r="D92" s="140">
        <v>50</v>
      </c>
      <c r="E92" s="140"/>
      <c r="F92" s="95">
        <f>0.1534</f>
        <v>0.15340000000000001</v>
      </c>
      <c r="G92" s="95">
        <f>2.85483</f>
        <v>2.8548300000000002</v>
      </c>
      <c r="H92" s="136">
        <f t="shared" si="8"/>
        <v>47.14517</v>
      </c>
      <c r="I92" s="95">
        <f>8.72155</f>
        <v>8.7215500000000006</v>
      </c>
      <c r="J92" s="271"/>
    </row>
    <row r="93" spans="1:10" ht="18" customHeight="1" x14ac:dyDescent="0.25">
      <c r="A93" s="1"/>
      <c r="B93" s="281"/>
      <c r="C93" s="89" t="s">
        <v>52</v>
      </c>
      <c r="D93" s="140"/>
      <c r="E93" s="136"/>
      <c r="F93" s="136">
        <f>0</f>
        <v>0</v>
      </c>
      <c r="G93" s="136">
        <f>3.0017</f>
        <v>3.0017</v>
      </c>
      <c r="H93" s="136">
        <f t="shared" si="8"/>
        <v>-3.0017</v>
      </c>
      <c r="I93" s="136">
        <f>5.10856</f>
        <v>5.1085599999999998</v>
      </c>
      <c r="J93" s="271"/>
    </row>
    <row r="94" spans="1:10" ht="16.5" customHeight="1" x14ac:dyDescent="0.2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2361.95885</v>
      </c>
      <c r="G94" s="73">
        <f t="shared" si="10"/>
        <v>23558.300860000003</v>
      </c>
      <c r="H94" s="73">
        <f t="shared" si="10"/>
        <v>52786.699140000004</v>
      </c>
      <c r="I94" s="73">
        <f t="shared" si="10"/>
        <v>28482.735979999998</v>
      </c>
      <c r="J94" s="271"/>
    </row>
    <row r="95" spans="1:10" ht="13.5" customHeight="1" x14ac:dyDescent="0.2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2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2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2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" customHeight="1" x14ac:dyDescent="0.2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" customHeight="1" x14ac:dyDescent="0.2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" customHeight="1" x14ac:dyDescent="0.2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" customHeight="1" x14ac:dyDescent="0.2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2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2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2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" customHeight="1" x14ac:dyDescent="0.2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350.49779999999998</v>
      </c>
      <c r="G115" s="10">
        <f t="shared" si="11"/>
        <v>13204.40949</v>
      </c>
      <c r="H115" s="10">
        <f t="shared" si="11"/>
        <v>41041.590509999995</v>
      </c>
      <c r="I115" s="10">
        <f t="shared" si="11"/>
        <v>23830.97825</v>
      </c>
      <c r="J115" s="271"/>
    </row>
    <row r="116" spans="1:10" ht="14.1" customHeight="1" x14ac:dyDescent="0.25">
      <c r="A116" s="1"/>
      <c r="B116" s="281"/>
      <c r="C116" s="43" t="s">
        <v>20</v>
      </c>
      <c r="D116" s="44">
        <v>43397</v>
      </c>
      <c r="E116" s="44"/>
      <c r="F116" s="22">
        <f>350.4978</f>
        <v>350.49779999999998</v>
      </c>
      <c r="G116" s="22">
        <f>11961.05019</f>
        <v>11961.05019</v>
      </c>
      <c r="H116" s="22">
        <f>D116-G116</f>
        <v>31435.949809999998</v>
      </c>
      <c r="I116" s="22">
        <f>21585.41115</f>
        <v>21585.41115</v>
      </c>
      <c r="J116" s="271"/>
    </row>
    <row r="117" spans="1:10" ht="15" customHeight="1" x14ac:dyDescent="0.25">
      <c r="A117" s="1"/>
      <c r="B117" s="281"/>
      <c r="C117" s="43" t="s">
        <v>21</v>
      </c>
      <c r="D117" s="44">
        <v>10349</v>
      </c>
      <c r="E117" s="44"/>
      <c r="F117" s="22">
        <f>0</f>
        <v>0</v>
      </c>
      <c r="G117" s="22">
        <f>1176.8603</f>
        <v>1176.8603000000001</v>
      </c>
      <c r="H117" s="22">
        <f>D117-G117</f>
        <v>9172.1396999999997</v>
      </c>
      <c r="I117" s="22">
        <f>2180.46465</f>
        <v>2180.4646499999999</v>
      </c>
      <c r="J117" s="271"/>
    </row>
    <row r="118" spans="1:10" ht="13.5" customHeight="1" x14ac:dyDescent="0.25">
      <c r="A118" s="1"/>
      <c r="B118" s="281"/>
      <c r="C118" s="47" t="s">
        <v>59</v>
      </c>
      <c r="D118" s="32">
        <v>500</v>
      </c>
      <c r="E118" s="32"/>
      <c r="F118" s="22">
        <f>0</f>
        <v>0</v>
      </c>
      <c r="G118" s="22">
        <f>66.499</f>
        <v>66.498999999999995</v>
      </c>
      <c r="H118" s="53">
        <f>D118-G118</f>
        <v>433.50099999999998</v>
      </c>
      <c r="I118" s="22">
        <f>65.10245</f>
        <v>65.102450000000005</v>
      </c>
      <c r="J118" s="271"/>
    </row>
    <row r="119" spans="1:10" ht="14.25" customHeight="1" x14ac:dyDescent="0.25">
      <c r="A119" s="65"/>
      <c r="B119" s="75"/>
      <c r="C119" s="85" t="s">
        <v>60</v>
      </c>
      <c r="D119" s="87">
        <v>36653</v>
      </c>
      <c r="E119" s="87"/>
      <c r="F119" s="92">
        <f>0</f>
        <v>0</v>
      </c>
      <c r="G119" s="92">
        <f>93.492+173.5506</f>
        <v>267.04259999999999</v>
      </c>
      <c r="H119" s="92">
        <f>D119-G119</f>
        <v>36385.957399999999</v>
      </c>
      <c r="I119" s="92">
        <f>23.155</f>
        <v>23.155000000000001</v>
      </c>
      <c r="J119" s="111"/>
    </row>
    <row r="120" spans="1:10" ht="15.75" customHeight="1" x14ac:dyDescent="0.25">
      <c r="A120" s="1"/>
      <c r="B120" s="281"/>
      <c r="C120" s="139" t="s">
        <v>22</v>
      </c>
      <c r="D120" s="140">
        <f>D121+D126+D129</f>
        <v>57110</v>
      </c>
      <c r="E120" s="140">
        <f>E121+E126+E129</f>
        <v>0</v>
      </c>
      <c r="F120" s="91">
        <f>F121+F126+F129</f>
        <v>334.41181</v>
      </c>
      <c r="G120" s="91">
        <f t="shared" ref="G120" si="12">G121+G126+G129</f>
        <v>16876.858690000001</v>
      </c>
      <c r="H120" s="91">
        <f>H121+H126+H129</f>
        <v>40233.141309999992</v>
      </c>
      <c r="I120" s="91">
        <f>I121+I126+I129</f>
        <v>30186.348179999997</v>
      </c>
      <c r="J120" s="117"/>
    </row>
    <row r="121" spans="1:10" ht="14.1" customHeight="1" x14ac:dyDescent="0.2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258.09348</v>
      </c>
      <c r="G121" s="121">
        <f>G122+G123+G125+G124</f>
        <v>12737.666789999999</v>
      </c>
      <c r="H121" s="121">
        <f>H122+H123+H124+H125</f>
        <v>30444.333209999997</v>
      </c>
      <c r="I121" s="121">
        <f>I122+I123+I124+I125</f>
        <v>22453.721139999998</v>
      </c>
      <c r="J121" s="305"/>
    </row>
    <row r="122" spans="1:10" ht="14.1" customHeight="1" x14ac:dyDescent="0.25">
      <c r="A122" s="192"/>
      <c r="B122" s="122"/>
      <c r="C122" s="60" t="s">
        <v>24</v>
      </c>
      <c r="D122" s="61">
        <v>11476</v>
      </c>
      <c r="E122" s="61"/>
      <c r="F122" s="123">
        <f>56.93999</f>
        <v>56.939990000000002</v>
      </c>
      <c r="G122" s="123">
        <f>3694.01909</f>
        <v>3694.0190899999998</v>
      </c>
      <c r="H122" s="123">
        <f>D122-G122</f>
        <v>7781.9809100000002</v>
      </c>
      <c r="I122" s="123">
        <f>5067.14496</f>
        <v>5067.1449599999996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11835</v>
      </c>
      <c r="E123" s="61"/>
      <c r="F123" s="123">
        <f>71.9573</f>
        <v>71.957300000000004</v>
      </c>
      <c r="G123" s="123">
        <f>4357.86612</f>
        <v>4357.8661199999997</v>
      </c>
      <c r="H123" s="123">
        <f>D123-G123</f>
        <v>7477.1338800000003</v>
      </c>
      <c r="I123" s="123">
        <f>7268.2848</f>
        <v>7268.2848000000004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10473</v>
      </c>
      <c r="E124" s="61"/>
      <c r="F124" s="123">
        <f>111.05103</f>
        <v>111.05103</v>
      </c>
      <c r="G124" s="123">
        <f>2854.69426-21.8318</f>
        <v>2832.8624600000003</v>
      </c>
      <c r="H124" s="123">
        <f>D124-G124</f>
        <v>7640.1375399999997</v>
      </c>
      <c r="I124" s="123">
        <f>4862.66475</f>
        <v>4862.6647499999999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9398</v>
      </c>
      <c r="E125" s="61"/>
      <c r="F125" s="123">
        <f>18.14516</f>
        <v>18.145160000000001</v>
      </c>
      <c r="G125" s="123">
        <f>2004.63792-151.7188</f>
        <v>1852.91912</v>
      </c>
      <c r="H125" s="123">
        <f>D125-G125</f>
        <v>7545.0808799999995</v>
      </c>
      <c r="I125" s="123">
        <f>5255.62663</f>
        <v>5255.6266299999997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6128</v>
      </c>
      <c r="E126" s="55">
        <f>E127+E128</f>
        <v>0</v>
      </c>
      <c r="F126" s="129">
        <f>SUM(F127:F128)</f>
        <v>17.1951</v>
      </c>
      <c r="G126" s="129">
        <f>SUM(G127:G128)</f>
        <v>1791.83843</v>
      </c>
      <c r="H126" s="129">
        <f>H127+H128</f>
        <v>4336.1615700000002</v>
      </c>
      <c r="I126" s="129">
        <f>SUM(I127:I128)</f>
        <v>5399.5213700000004</v>
      </c>
      <c r="J126" s="130"/>
    </row>
    <row r="127" spans="1:10" ht="14.1" customHeight="1" x14ac:dyDescent="0.25">
      <c r="A127" s="1"/>
      <c r="B127" s="281"/>
      <c r="C127" s="60" t="s">
        <v>62</v>
      </c>
      <c r="D127" s="61">
        <v>5628</v>
      </c>
      <c r="E127" s="61"/>
      <c r="F127" s="123">
        <f>0.8604</f>
        <v>0.86040000000000005</v>
      </c>
      <c r="G127" s="123">
        <f>1644.96211</f>
        <v>1644.9621099999999</v>
      </c>
      <c r="H127" s="123">
        <f t="shared" ref="H127:H135" si="13">D127-G127</f>
        <v>3983.0378900000001</v>
      </c>
      <c r="I127" s="123">
        <f>5296.65218</f>
        <v>5296.65218</v>
      </c>
      <c r="J127" s="117"/>
    </row>
    <row r="128" spans="1:10" ht="15" customHeight="1" x14ac:dyDescent="0.25">
      <c r="A128" s="1"/>
      <c r="B128" s="51"/>
      <c r="C128" s="60" t="s">
        <v>63</v>
      </c>
      <c r="D128" s="61">
        <v>500</v>
      </c>
      <c r="E128" s="61"/>
      <c r="F128" s="123">
        <f>16.3347</f>
        <v>16.334700000000002</v>
      </c>
      <c r="G128" s="123">
        <f>146.87632</f>
        <v>146.87631999999999</v>
      </c>
      <c r="H128" s="123">
        <f t="shared" si="13"/>
        <v>353.12368000000004</v>
      </c>
      <c r="I128" s="123">
        <f>102.86919</f>
        <v>102.86919</v>
      </c>
      <c r="J128" s="131"/>
    </row>
    <row r="129" spans="1:10" ht="15.75" customHeight="1" x14ac:dyDescent="0.25">
      <c r="A129" s="1"/>
      <c r="B129" s="281"/>
      <c r="C129" s="37" t="s">
        <v>11</v>
      </c>
      <c r="D129" s="59">
        <v>7800</v>
      </c>
      <c r="E129" s="59"/>
      <c r="F129" s="72">
        <f>59.12323</f>
        <v>59.12323</v>
      </c>
      <c r="G129" s="72">
        <f>2347.35347</f>
        <v>2347.35347</v>
      </c>
      <c r="H129" s="72">
        <f t="shared" si="13"/>
        <v>5452.64653</v>
      </c>
      <c r="I129" s="72">
        <f>2333.10567</f>
        <v>2333.1056699999999</v>
      </c>
      <c r="J129" s="117"/>
    </row>
    <row r="130" spans="1:10" ht="15.75" customHeight="1" x14ac:dyDescent="0.25">
      <c r="A130" s="1"/>
      <c r="B130" s="281"/>
      <c r="C130" s="139" t="s">
        <v>33</v>
      </c>
      <c r="D130" s="140">
        <v>156</v>
      </c>
      <c r="E130" s="140"/>
      <c r="F130" s="136">
        <f>0</f>
        <v>0</v>
      </c>
      <c r="G130" s="136">
        <f>11.8859</f>
        <v>11.885899999999999</v>
      </c>
      <c r="H130" s="136">
        <f t="shared" si="13"/>
        <v>144.11410000000001</v>
      </c>
      <c r="I130" s="136">
        <f>13.28493</f>
        <v>13.284929999999999</v>
      </c>
      <c r="J130" s="117"/>
    </row>
    <row r="131" spans="1:10" ht="15.75" customHeight="1" x14ac:dyDescent="0.2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25">
      <c r="A132" s="1"/>
      <c r="B132" s="281"/>
      <c r="C132" s="137" t="s">
        <v>65</v>
      </c>
      <c r="D132" s="140">
        <v>2000</v>
      </c>
      <c r="E132" s="140"/>
      <c r="F132" s="136">
        <f>7.96813</f>
        <v>7.9681300000000004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2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25">
      <c r="A134" s="1"/>
      <c r="B134" s="281"/>
      <c r="C134" s="139" t="s">
        <v>66</v>
      </c>
      <c r="D134" s="140">
        <v>255</v>
      </c>
      <c r="E134" s="140"/>
      <c r="F134" s="95">
        <f>0.0614</f>
        <v>6.1400000000000003E-2</v>
      </c>
      <c r="G134" s="95">
        <f>3.95657</f>
        <v>3.9565700000000001</v>
      </c>
      <c r="H134" s="136">
        <f t="shared" si="13"/>
        <v>251.04343</v>
      </c>
      <c r="I134" s="95">
        <f>69.47278</f>
        <v>69.47278</v>
      </c>
      <c r="J134" s="117"/>
    </row>
    <row r="135" spans="1:10" ht="15" customHeight="1" x14ac:dyDescent="0.2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64.41975</f>
        <v>64.419749999999993</v>
      </c>
      <c r="H135" s="136">
        <f t="shared" si="13"/>
        <v>-64.419749999999993</v>
      </c>
      <c r="I135" s="136">
        <f>74.55246</f>
        <v>74.552459999999996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0</v>
      </c>
      <c r="F137" s="73">
        <f>F115+F119+F120+F130+F131+F132+F133+F134+F135</f>
        <v>692.93913999999995</v>
      </c>
      <c r="G137" s="73">
        <f>G115+G119+G120+G130+G131+G132+G133+G134+G135</f>
        <v>30428.573</v>
      </c>
      <c r="H137" s="73">
        <f>H115+H119+H120+H130+H131+H132+H133+H134+H135</f>
        <v>120341.427</v>
      </c>
      <c r="I137" s="73">
        <f>I115+I119+I120+I130+I131+I132+I133+I134+I135</f>
        <v>54197.791599999997</v>
      </c>
      <c r="J137" s="155"/>
    </row>
    <row r="138" spans="1:10" ht="14.25" customHeight="1" x14ac:dyDescent="0.2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2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2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2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" customHeight="1" x14ac:dyDescent="0.2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" customHeight="1" x14ac:dyDescent="0.2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" customHeight="1" x14ac:dyDescent="0.2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" customHeight="1" x14ac:dyDescent="0.2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" customHeight="1" x14ac:dyDescent="0.2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2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2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" customHeight="1" x14ac:dyDescent="0.25">
      <c r="A160" s="1"/>
      <c r="B160" s="281"/>
      <c r="C160" s="138" t="s">
        <v>70</v>
      </c>
      <c r="D160" s="91">
        <v>3754</v>
      </c>
      <c r="E160" s="301">
        <f>30.59643</f>
        <v>30.596430000000002</v>
      </c>
      <c r="F160" s="301">
        <f>439.71672</f>
        <v>439.71672000000001</v>
      </c>
      <c r="G160" s="42">
        <f>D160-F160-F161</f>
        <v>3087.6700799999999</v>
      </c>
      <c r="H160" s="301">
        <f>331.51479</f>
        <v>331.51479</v>
      </c>
      <c r="I160" s="1"/>
      <c r="J160" s="117"/>
    </row>
    <row r="161" spans="1:10" ht="14.1" customHeight="1" x14ac:dyDescent="0.25">
      <c r="A161" s="1"/>
      <c r="B161" s="281"/>
      <c r="C161" s="133" t="s">
        <v>50</v>
      </c>
      <c r="D161" s="175"/>
      <c r="E161" s="148">
        <f>0</f>
        <v>0</v>
      </c>
      <c r="F161" s="148">
        <f>226.6132</f>
        <v>226.61320000000001</v>
      </c>
      <c r="G161" s="219"/>
      <c r="H161" s="148">
        <f>262.23174</f>
        <v>262.23174</v>
      </c>
      <c r="I161" s="1"/>
      <c r="J161" s="117"/>
    </row>
    <row r="162" spans="1:10" ht="15.6" customHeight="1" x14ac:dyDescent="0.2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12.52374</f>
        <v>12.52374</v>
      </c>
      <c r="G162" s="166">
        <f>D162-F162</f>
        <v>187.47626</v>
      </c>
      <c r="H162" s="166">
        <f>26.85302</f>
        <v>26.853020000000001</v>
      </c>
      <c r="I162" s="1"/>
      <c r="J162" s="117"/>
    </row>
    <row r="163" spans="1:10" ht="14.1" customHeight="1" x14ac:dyDescent="0.25">
      <c r="A163" s="65"/>
      <c r="B163" s="75"/>
      <c r="C163" s="174" t="s">
        <v>72</v>
      </c>
      <c r="D163" s="175">
        <v>5630</v>
      </c>
      <c r="E163" s="175">
        <f>E164+E165+E166</f>
        <v>7.2690800000000007</v>
      </c>
      <c r="F163" s="175">
        <f>F164+F165+F166</f>
        <v>84.685220000000001</v>
      </c>
      <c r="G163" s="175">
        <f>D163-F163</f>
        <v>5545.3147799999997</v>
      </c>
      <c r="H163" s="175">
        <f>H164+H165+H166</f>
        <v>85.792600000000007</v>
      </c>
      <c r="I163" s="65"/>
      <c r="J163" s="111"/>
    </row>
    <row r="164" spans="1:10" ht="14.1" customHeight="1" x14ac:dyDescent="0.25">
      <c r="A164" s="192"/>
      <c r="B164" s="176"/>
      <c r="C164" s="177" t="s">
        <v>73</v>
      </c>
      <c r="D164" s="123"/>
      <c r="E164" s="123">
        <f>2.038</f>
        <v>2.0379999999999998</v>
      </c>
      <c r="F164" s="123">
        <f>27.98932</f>
        <v>27.989319999999999</v>
      </c>
      <c r="G164" s="123"/>
      <c r="H164" s="123">
        <f>28.42516</f>
        <v>28.425160000000002</v>
      </c>
      <c r="I164" s="181"/>
      <c r="J164" s="126"/>
    </row>
    <row r="165" spans="1:10" ht="14.1" customHeight="1" x14ac:dyDescent="0.25">
      <c r="A165" s="192"/>
      <c r="B165" s="176"/>
      <c r="C165" s="177" t="s">
        <v>74</v>
      </c>
      <c r="D165" s="123"/>
      <c r="E165" s="123">
        <f>4.38208</f>
        <v>4.3820800000000002</v>
      </c>
      <c r="F165" s="123">
        <f>41.54502</f>
        <v>41.545020000000001</v>
      </c>
      <c r="G165" s="123"/>
      <c r="H165" s="123">
        <f>30.62978</f>
        <v>30.62978</v>
      </c>
      <c r="I165" s="181"/>
      <c r="J165" s="182"/>
    </row>
    <row r="166" spans="1:10" ht="14.1" customHeight="1" x14ac:dyDescent="0.25">
      <c r="A166" s="192"/>
      <c r="B166" s="176"/>
      <c r="C166" s="183" t="s">
        <v>75</v>
      </c>
      <c r="D166" s="186"/>
      <c r="E166" s="186">
        <f>0.849</f>
        <v>0.84899999999999998</v>
      </c>
      <c r="F166" s="186">
        <f>15.15088</f>
        <v>15.150880000000001</v>
      </c>
      <c r="G166" s="186"/>
      <c r="H166" s="186">
        <f>26.73766</f>
        <v>26.737660000000002</v>
      </c>
      <c r="I166" s="181"/>
      <c r="J166" s="182"/>
    </row>
    <row r="167" spans="1:10" ht="14.1" customHeight="1" x14ac:dyDescent="0.2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2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37.86551</v>
      </c>
      <c r="F169" s="188">
        <f>F160+F161+F162+F163+F167+F168</f>
        <v>764.01483999999994</v>
      </c>
      <c r="G169" s="188">
        <f>D169-F169</f>
        <v>8910.9851600000002</v>
      </c>
      <c r="H169" s="188">
        <f>H160+H161+H162+H163+H167+H168</f>
        <v>706.39215000000002</v>
      </c>
      <c r="I169" s="159"/>
      <c r="J169" s="155"/>
    </row>
    <row r="170" spans="1:10" ht="42" customHeight="1" x14ac:dyDescent="0.2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2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2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2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81"/>
      <c r="C189" s="90" t="s">
        <v>4</v>
      </c>
      <c r="D189" s="124">
        <v>45561</v>
      </c>
      <c r="E189" s="124"/>
      <c r="F189" s="124">
        <f>134.97142</f>
        <v>134.97141999999999</v>
      </c>
      <c r="G189" s="124">
        <f>14847.83128</f>
        <v>14847.83128</v>
      </c>
      <c r="H189" s="124">
        <f>D189-G189</f>
        <v>30713.168720000001</v>
      </c>
      <c r="I189" s="124">
        <f>17205.65948</f>
        <v>17205.659479999998</v>
      </c>
      <c r="J189" s="117"/>
    </row>
    <row r="190" spans="1:10" ht="15" customHeight="1" x14ac:dyDescent="0.25">
      <c r="A190" s="1"/>
      <c r="B190" s="281"/>
      <c r="C190" s="90" t="s">
        <v>63</v>
      </c>
      <c r="D190" s="124">
        <v>100</v>
      </c>
      <c r="E190" s="124"/>
      <c r="F190" s="124">
        <f>0.0015</f>
        <v>1.5E-3</v>
      </c>
      <c r="G190" s="124">
        <f>3.27692</f>
        <v>3.2769200000000001</v>
      </c>
      <c r="H190" s="124">
        <f>D190-G190</f>
        <v>96.723079999999996</v>
      </c>
      <c r="I190" s="124">
        <f>5.23194</f>
        <v>5.2319399999999998</v>
      </c>
      <c r="J190" s="117"/>
    </row>
    <row r="191" spans="1:10" ht="15.75" customHeight="1" x14ac:dyDescent="0.2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2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134.97291999999999</v>
      </c>
      <c r="G192" s="190">
        <f>SUM(G189:G191)</f>
        <v>14851.108200000001</v>
      </c>
      <c r="H192" s="190">
        <f>D192-G192</f>
        <v>30855.891799999998</v>
      </c>
      <c r="I192" s="190">
        <f>SUM(I189:I191)</f>
        <v>17210.89142</v>
      </c>
      <c r="J192" s="117"/>
    </row>
    <row r="193" spans="1:10" ht="12" customHeight="1" x14ac:dyDescent="0.2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2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81"/>
      <c r="C202" s="90" t="s">
        <v>112</v>
      </c>
      <c r="D202" s="124">
        <v>3202</v>
      </c>
      <c r="E202" s="72">
        <f>E203+E204</f>
        <v>24.574660000000002</v>
      </c>
      <c r="F202" s="72">
        <f>F203+F204</f>
        <v>1766.26082</v>
      </c>
      <c r="G202" s="72">
        <f>D202-F202</f>
        <v>1435.73918</v>
      </c>
      <c r="H202" s="72">
        <f>H203+H204</f>
        <v>1255.7309</v>
      </c>
      <c r="I202" s="275"/>
      <c r="J202" s="117"/>
    </row>
    <row r="203" spans="1:10" ht="15" customHeight="1" x14ac:dyDescent="0.25">
      <c r="A203" s="1"/>
      <c r="B203" s="281"/>
      <c r="C203" s="172" t="s">
        <v>8</v>
      </c>
      <c r="D203" s="124"/>
      <c r="E203" s="72">
        <f>11.7782</f>
        <v>11.7782</v>
      </c>
      <c r="F203" s="72">
        <f>1364.28468</f>
        <v>1364.28468</v>
      </c>
      <c r="G203" s="72"/>
      <c r="H203" s="72">
        <f>847.12596</f>
        <v>847.12595999999996</v>
      </c>
      <c r="I203" s="275"/>
      <c r="J203" s="117"/>
    </row>
    <row r="204" spans="1:10" ht="15" customHeight="1" x14ac:dyDescent="0.25">
      <c r="A204" s="1"/>
      <c r="B204" s="281"/>
      <c r="C204" s="172" t="s">
        <v>63</v>
      </c>
      <c r="D204" s="124"/>
      <c r="E204" s="124">
        <f>12.79646</f>
        <v>12.79646</v>
      </c>
      <c r="F204" s="124">
        <f>401.97614</f>
        <v>401.97613999999999</v>
      </c>
      <c r="G204" s="168"/>
      <c r="H204" s="124">
        <f>408.60494</f>
        <v>408.60494</v>
      </c>
      <c r="I204" s="275"/>
      <c r="J204" s="117"/>
    </row>
    <row r="205" spans="1:10" ht="15" customHeight="1" x14ac:dyDescent="0.25">
      <c r="A205" s="1"/>
      <c r="B205" s="281"/>
      <c r="C205" s="90" t="s">
        <v>113</v>
      </c>
      <c r="D205" s="124">
        <v>3704</v>
      </c>
      <c r="E205" s="72">
        <f>55.72938</f>
        <v>55.729379999999999</v>
      </c>
      <c r="F205" s="72">
        <f>1346.25928</f>
        <v>1346.25928</v>
      </c>
      <c r="G205" s="72">
        <f>D205-F205</f>
        <v>2357.7407199999998</v>
      </c>
      <c r="H205" s="72">
        <f>1327.40343</f>
        <v>1327.4034300000001</v>
      </c>
      <c r="I205" s="275"/>
      <c r="J205" s="117"/>
    </row>
    <row r="206" spans="1:10" ht="16.5" customHeight="1" x14ac:dyDescent="0.25">
      <c r="A206" s="1"/>
      <c r="B206" s="281"/>
      <c r="C206" s="179" t="s">
        <v>82</v>
      </c>
      <c r="D206" s="190">
        <f>D205+D202</f>
        <v>6906</v>
      </c>
      <c r="E206" s="190">
        <f>SUM(E202,E205)</f>
        <v>80.304040000000001</v>
      </c>
      <c r="F206" s="190">
        <f>SUM(F202,F205)</f>
        <v>3112.5200999999997</v>
      </c>
      <c r="G206" s="190">
        <f>D206-F206</f>
        <v>3793.4799000000003</v>
      </c>
      <c r="H206" s="190">
        <f>SUM(H202,H205)</f>
        <v>2583.1343299999999</v>
      </c>
      <c r="I206" s="275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2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81"/>
      <c r="C215" s="90" t="s">
        <v>112</v>
      </c>
      <c r="D215" s="124">
        <v>5516</v>
      </c>
      <c r="E215" s="72">
        <f>E216+E217</f>
        <v>14.061020000000001</v>
      </c>
      <c r="F215" s="72">
        <f>F216+F217</f>
        <v>2002.4006899999999</v>
      </c>
      <c r="G215" s="72">
        <f>D215-F215</f>
        <v>3513.5993100000001</v>
      </c>
      <c r="H215" s="72">
        <f>H216+H217</f>
        <v>1228.4980700000001</v>
      </c>
      <c r="I215" s="275"/>
      <c r="J215" s="117"/>
    </row>
    <row r="216" spans="1:10" ht="15" customHeight="1" x14ac:dyDescent="0.25">
      <c r="A216" s="1"/>
      <c r="B216" s="281"/>
      <c r="C216" s="172" t="s">
        <v>8</v>
      </c>
      <c r="D216" s="124"/>
      <c r="E216" s="72">
        <f>1.5188</f>
        <v>1.5187999999999999</v>
      </c>
      <c r="F216" s="72">
        <f>1759.07846</f>
        <v>1759.07846</v>
      </c>
      <c r="G216" s="72"/>
      <c r="H216" s="72">
        <f>1008.6313</f>
        <v>1008.6313</v>
      </c>
      <c r="I216" s="275"/>
      <c r="J216" s="117"/>
    </row>
    <row r="217" spans="1:10" ht="15" customHeight="1" x14ac:dyDescent="0.25">
      <c r="A217" s="1"/>
      <c r="B217" s="281"/>
      <c r="C217" s="172" t="s">
        <v>63</v>
      </c>
      <c r="D217" s="124"/>
      <c r="E217" s="124">
        <f>12.54222</f>
        <v>12.54222</v>
      </c>
      <c r="F217" s="124">
        <f>243.32223</f>
        <v>243.32222999999999</v>
      </c>
      <c r="G217" s="168"/>
      <c r="H217" s="124">
        <f>219.86677</f>
        <v>219.86677</v>
      </c>
      <c r="I217" s="275"/>
      <c r="J217" s="117"/>
    </row>
    <row r="218" spans="1:10" ht="15" customHeight="1" x14ac:dyDescent="0.25">
      <c r="A218" s="1"/>
      <c r="B218" s="281"/>
      <c r="C218" s="90" t="s">
        <v>113</v>
      </c>
      <c r="D218" s="124">
        <v>3232</v>
      </c>
      <c r="E218" s="72">
        <f>35.30222</f>
        <v>35.302219999999998</v>
      </c>
      <c r="F218" s="72">
        <f>1273.84959</f>
        <v>1273.84959</v>
      </c>
      <c r="G218" s="72">
        <f>D218-F218</f>
        <v>1958.15041</v>
      </c>
      <c r="H218" s="72">
        <f>936.84767</f>
        <v>936.84766999999999</v>
      </c>
      <c r="I218" s="275"/>
      <c r="J218" s="117"/>
    </row>
    <row r="219" spans="1:10" ht="16.5" customHeight="1" x14ac:dyDescent="0.25">
      <c r="A219" s="1"/>
      <c r="B219" s="281"/>
      <c r="C219" s="179" t="s">
        <v>82</v>
      </c>
      <c r="D219" s="190">
        <f>D218+D215</f>
        <v>8748</v>
      </c>
      <c r="E219" s="190">
        <f>SUM(E215,E218)</f>
        <v>49.363239999999998</v>
      </c>
      <c r="F219" s="190">
        <f>SUM(F215,F218)</f>
        <v>3276.2502800000002</v>
      </c>
      <c r="G219" s="190">
        <f>D219-F219</f>
        <v>5471.7497199999998</v>
      </c>
      <c r="H219" s="190">
        <f>SUM(H215,H218)</f>
        <v>2165.3457400000002</v>
      </c>
      <c r="I219" s="275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6" customHeight="1" x14ac:dyDescent="0.2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" customHeight="1" x14ac:dyDescent="0.2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" customHeight="1" x14ac:dyDescent="0.2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2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2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" customHeight="1" x14ac:dyDescent="0.2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2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88</v>
      </c>
      <c r="D237" s="124">
        <v>800</v>
      </c>
      <c r="E237" s="124">
        <f>2.58538</f>
        <v>2.5853799999999998</v>
      </c>
      <c r="F237" s="124">
        <f>45.18919</f>
        <v>45.189190000000004</v>
      </c>
      <c r="G237" s="124">
        <f>D237-F237</f>
        <v>754.81080999999995</v>
      </c>
      <c r="H237" s="124">
        <f>115.63119</f>
        <v>115.63119</v>
      </c>
      <c r="I237" s="65"/>
      <c r="J237" s="271"/>
    </row>
    <row r="238" spans="1:10" ht="14.1" customHeight="1" x14ac:dyDescent="0.25">
      <c r="A238" s="1"/>
      <c r="B238" s="281"/>
      <c r="C238" s="90" t="s">
        <v>89</v>
      </c>
      <c r="D238" s="273">
        <v>706</v>
      </c>
      <c r="E238" s="124">
        <f>7.75963</f>
        <v>7.7596299999999996</v>
      </c>
      <c r="F238" s="124">
        <f>132.69204</f>
        <v>132.69203999999999</v>
      </c>
      <c r="G238" s="124">
        <f>D238-F238</f>
        <v>573.30795999999998</v>
      </c>
      <c r="H238" s="124">
        <f>221.39506</f>
        <v>221.39506</v>
      </c>
      <c r="I238" s="173"/>
      <c r="J238" s="111"/>
    </row>
    <row r="239" spans="1:10" ht="16.5" customHeight="1" x14ac:dyDescent="0.2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0.05414</f>
        <v>5.4140000000000001E-2</v>
      </c>
      <c r="I239" s="65"/>
      <c r="J239" s="276"/>
    </row>
    <row r="240" spans="1:10" ht="18.75" customHeight="1" x14ac:dyDescent="0.25">
      <c r="A240" s="65"/>
      <c r="B240" s="277"/>
      <c r="C240" s="146" t="s">
        <v>90</v>
      </c>
      <c r="D240" s="249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0.018</f>
        <v>1.7999999999999999E-2</v>
      </c>
      <c r="I240" s="309"/>
      <c r="J240" s="117"/>
    </row>
    <row r="241" spans="1:10" ht="14.1" customHeight="1" x14ac:dyDescent="0.25">
      <c r="A241" s="1"/>
      <c r="B241" s="281"/>
      <c r="C241" s="179" t="s">
        <v>82</v>
      </c>
      <c r="D241" s="5">
        <f>D226</f>
        <v>1516</v>
      </c>
      <c r="E241" s="190">
        <f>SUM(E237:E240)</f>
        <v>10.345009999999998</v>
      </c>
      <c r="F241" s="190">
        <f>SUM(F237:F240)</f>
        <v>177.92622999999998</v>
      </c>
      <c r="G241" s="190">
        <f>D241-F241</f>
        <v>1338.07377</v>
      </c>
      <c r="H241" s="190">
        <f>H237+H238+H239+H240</f>
        <v>337.09838999999999</v>
      </c>
      <c r="I241" s="1"/>
      <c r="J241" s="117"/>
    </row>
    <row r="242" spans="1:10" ht="14.1" customHeight="1" x14ac:dyDescent="0.2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108</v>
      </c>
    </row>
    <row r="245" spans="1:10" ht="14.1" customHeight="1" x14ac:dyDescent="0.25">
      <c r="A245" s="1" t="s">
        <v>108</v>
      </c>
    </row>
    <row r="246" spans="1:10" ht="30" customHeight="1" x14ac:dyDescent="0.3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2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2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2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" customHeight="1" x14ac:dyDescent="0.2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35" customHeight="1" x14ac:dyDescent="0.2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35" customHeight="1" x14ac:dyDescent="0.2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2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2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" customHeight="1" x14ac:dyDescent="0.2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66.166200000000003</v>
      </c>
      <c r="G262" s="280">
        <f t="shared" si="15"/>
        <v>752.08177999999998</v>
      </c>
      <c r="H262" s="280">
        <f>H266+H265+H264+H263</f>
        <v>14462.91822</v>
      </c>
      <c r="I262" s="280">
        <f t="shared" si="15"/>
        <v>1604.5720299999998</v>
      </c>
      <c r="J262" s="127"/>
    </row>
    <row r="263" spans="1:10" ht="14.1" customHeight="1" x14ac:dyDescent="0.25">
      <c r="A263" s="223"/>
      <c r="B263" s="69"/>
      <c r="C263" s="282" t="s">
        <v>98</v>
      </c>
      <c r="D263" s="283">
        <v>7457</v>
      </c>
      <c r="E263" s="283"/>
      <c r="F263" s="284">
        <f>16.8534</f>
        <v>16.853400000000001</v>
      </c>
      <c r="G263" s="284">
        <f>180.53577</f>
        <v>180.53577000000001</v>
      </c>
      <c r="H263" s="284">
        <f t="shared" ref="H263:H268" si="16">D263-G263</f>
        <v>7276.4642299999996</v>
      </c>
      <c r="I263" s="284">
        <f>653.27154</f>
        <v>653.27153999999996</v>
      </c>
      <c r="J263" s="127"/>
    </row>
    <row r="264" spans="1:10" ht="14.1" customHeight="1" x14ac:dyDescent="0.2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18.09</f>
        <v>18.09</v>
      </c>
      <c r="H264" s="284">
        <f t="shared" si="16"/>
        <v>1922.91</v>
      </c>
      <c r="I264" s="284">
        <f>124.4025</f>
        <v>124.4025</v>
      </c>
      <c r="J264" s="127"/>
    </row>
    <row r="265" spans="1:10" ht="14.1" customHeight="1" x14ac:dyDescent="0.25">
      <c r="A265" s="223"/>
      <c r="B265" s="69"/>
      <c r="C265" s="286" t="s">
        <v>95</v>
      </c>
      <c r="D265" s="283">
        <v>1338</v>
      </c>
      <c r="E265" s="283"/>
      <c r="F265" s="284">
        <f>45.7356</f>
        <v>45.735599999999998</v>
      </c>
      <c r="G265" s="284">
        <f>441.48665</f>
        <v>441.48665</v>
      </c>
      <c r="H265" s="284">
        <f t="shared" si="16"/>
        <v>896.51334999999995</v>
      </c>
      <c r="I265" s="284">
        <f>468.848</f>
        <v>468.84800000000001</v>
      </c>
      <c r="J265" s="127"/>
    </row>
    <row r="266" spans="1:10" ht="14.1" customHeight="1" x14ac:dyDescent="0.25">
      <c r="A266" s="223"/>
      <c r="B266" s="69"/>
      <c r="C266" s="288" t="s">
        <v>118</v>
      </c>
      <c r="D266" s="289">
        <v>4479</v>
      </c>
      <c r="E266" s="289"/>
      <c r="F266" s="284">
        <f>3.5772</f>
        <v>3.5771999999999999</v>
      </c>
      <c r="G266" s="284">
        <f>111.96936</f>
        <v>111.96935999999999</v>
      </c>
      <c r="H266" s="284">
        <f t="shared" si="16"/>
        <v>4367.0306399999999</v>
      </c>
      <c r="I266" s="284">
        <f>358.04999</f>
        <v>358.04998999999998</v>
      </c>
      <c r="J266" s="127"/>
    </row>
    <row r="267" spans="1:10" ht="14.1" customHeight="1" x14ac:dyDescent="0.25">
      <c r="A267" s="223"/>
      <c r="B267" s="69"/>
      <c r="C267" s="291" t="s">
        <v>56</v>
      </c>
      <c r="D267" s="292">
        <v>5500</v>
      </c>
      <c r="E267" s="292"/>
      <c r="F267" s="294">
        <f>0</f>
        <v>0</v>
      </c>
      <c r="G267" s="294">
        <f>29.785</f>
        <v>29.785</v>
      </c>
      <c r="H267" s="294">
        <f t="shared" si="16"/>
        <v>5470.2150000000001</v>
      </c>
      <c r="I267" s="294">
        <f>87.57984</f>
        <v>87.579840000000004</v>
      </c>
      <c r="J267" s="127"/>
    </row>
    <row r="268" spans="1:10" ht="14.1" customHeight="1" x14ac:dyDescent="0.25">
      <c r="A268" s="223"/>
      <c r="B268" s="69"/>
      <c r="C268" s="274" t="s">
        <v>22</v>
      </c>
      <c r="D268" s="278">
        <v>8000</v>
      </c>
      <c r="E268" s="278"/>
      <c r="F268" s="295">
        <f>F270+F269</f>
        <v>30.831469999999999</v>
      </c>
      <c r="G268" s="295">
        <f>G270+G269</f>
        <v>791.66829000000007</v>
      </c>
      <c r="H268" s="295">
        <f t="shared" si="16"/>
        <v>7208.3317100000004</v>
      </c>
      <c r="I268" s="295">
        <f>I270+I269</f>
        <v>1041.3258900000001</v>
      </c>
      <c r="J268" s="127"/>
    </row>
    <row r="269" spans="1:10" ht="14.1" customHeight="1" x14ac:dyDescent="0.2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328.72877</f>
        <v>328.72877</v>
      </c>
      <c r="H269" s="284"/>
      <c r="I269" s="284">
        <f>447.26843</f>
        <v>447.26843000000002</v>
      </c>
      <c r="J269" s="127"/>
    </row>
    <row r="270" spans="1:10" ht="14.1" customHeight="1" x14ac:dyDescent="0.25">
      <c r="A270" s="223"/>
      <c r="B270" s="69"/>
      <c r="C270" s="299" t="s">
        <v>99</v>
      </c>
      <c r="D270" s="300"/>
      <c r="E270" s="302"/>
      <c r="F270" s="303">
        <f>30.83147</f>
        <v>30.831469999999999</v>
      </c>
      <c r="G270" s="303">
        <f>462.93952</f>
        <v>462.93952000000002</v>
      </c>
      <c r="H270" s="303"/>
      <c r="I270" s="303">
        <f>594.05746</f>
        <v>594.05745999999999</v>
      </c>
      <c r="J270" s="127"/>
    </row>
    <row r="271" spans="1:10" ht="14.1" customHeight="1" x14ac:dyDescent="0.2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0.0135</f>
        <v>1.35E-2</v>
      </c>
      <c r="J271" s="127"/>
    </row>
    <row r="272" spans="1:10" ht="14.1" customHeight="1" x14ac:dyDescent="0.25">
      <c r="A272" s="223"/>
      <c r="B272" s="69"/>
      <c r="C272" s="304" t="s">
        <v>100</v>
      </c>
      <c r="D272" s="307"/>
      <c r="E272" s="308"/>
      <c r="F272" s="294">
        <f>0.018</f>
        <v>1.7999999999999999E-2</v>
      </c>
      <c r="G272" s="294">
        <f>1.90947</f>
        <v>1.90947</v>
      </c>
      <c r="H272" s="294">
        <f>D272-G272</f>
        <v>-1.90947</v>
      </c>
      <c r="I272" s="294">
        <f>3.90394</f>
        <v>3.90394</v>
      </c>
      <c r="J272" s="127"/>
    </row>
    <row r="273" spans="1:10" ht="19.5" customHeight="1" x14ac:dyDescent="0.2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97.01567</v>
      </c>
      <c r="G273" s="312">
        <f t="shared" si="17"/>
        <v>1575.44454</v>
      </c>
      <c r="H273" s="312">
        <f>H262+H267+H268+H271+H272</f>
        <v>27152.555460000003</v>
      </c>
      <c r="I273" s="312">
        <f t="shared" si="17"/>
        <v>2737.3951999999999</v>
      </c>
      <c r="J273" s="127"/>
    </row>
    <row r="274" spans="1:10" ht="14.1" customHeight="1" x14ac:dyDescent="0.2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108</v>
      </c>
      <c r="D279" s="152"/>
    </row>
    <row r="280" spans="1:10" ht="14.1" customHeight="1" x14ac:dyDescent="0.2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" customHeight="1" x14ac:dyDescent="0.2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8" t="s">
        <v>116</v>
      </c>
      <c r="D288" s="328"/>
      <c r="E288" s="328"/>
      <c r="F288" s="328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2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" customHeight="1" x14ac:dyDescent="0.2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925.07792999999992</v>
      </c>
      <c r="G294" s="82">
        <f>D294-F294</f>
        <v>-146.07792999999992</v>
      </c>
      <c r="H294" s="25">
        <f>SUM(H295:H296)</f>
        <v>1023.20588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684.16675</f>
        <v>684.16674999999998</v>
      </c>
      <c r="G295" s="199"/>
      <c r="H295" s="198">
        <f>778.94708</f>
        <v>778.94708000000003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" customHeight="1" x14ac:dyDescent="0.2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649.3981</v>
      </c>
      <c r="G297" s="82">
        <f>D297-F297</f>
        <v>129.6019</v>
      </c>
      <c r="H297" s="25">
        <f>SUM(H298:H299)</f>
        <v>986.35825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510.748</f>
        <v>510.74799999999999</v>
      </c>
      <c r="G298" s="94"/>
      <c r="H298" s="29">
        <f>763.96923</f>
        <v>763.96923000000004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8"/>
      <c r="E299" s="29">
        <f>0</f>
        <v>0</v>
      </c>
      <c r="F299" s="29">
        <f>138.6501</f>
        <v>138.65010000000001</v>
      </c>
      <c r="G299" s="105"/>
      <c r="H299" s="29">
        <f>222.38902</f>
        <v>222.38901999999999</v>
      </c>
      <c r="I299" s="145"/>
      <c r="J299" s="127"/>
    </row>
    <row r="300" spans="1:10" ht="14.1" customHeight="1" x14ac:dyDescent="0.25">
      <c r="A300" s="223"/>
      <c r="B300" s="69"/>
      <c r="C300" s="291" t="s">
        <v>107</v>
      </c>
      <c r="D300" s="9">
        <v>780</v>
      </c>
      <c r="E300" s="34">
        <f>SUM(E301:E302)</f>
        <v>17.787599999999998</v>
      </c>
      <c r="F300" s="34">
        <f>SUM(F301:F302)</f>
        <v>202.65645000000001</v>
      </c>
      <c r="G300" s="82">
        <f>D300-F300</f>
        <v>577.34355000000005</v>
      </c>
      <c r="H300" s="34">
        <f>SUM(H301:H302)</f>
        <v>344.59054000000003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13.886</f>
        <v>13.885999999999999</v>
      </c>
      <c r="F301" s="29">
        <f>151.0054</f>
        <v>151.00540000000001</v>
      </c>
      <c r="G301" s="94"/>
      <c r="H301" s="29">
        <f>228.9891</f>
        <v>228.98910000000001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8"/>
      <c r="E302" s="29">
        <f>3.9016</f>
        <v>3.9016000000000002</v>
      </c>
      <c r="F302" s="29">
        <f>51.65105</f>
        <v>51.651049999999998</v>
      </c>
      <c r="G302" s="105"/>
      <c r="H302" s="29">
        <f>115.60144</f>
        <v>115.60144</v>
      </c>
      <c r="I302" s="145"/>
      <c r="J302" s="127"/>
    </row>
    <row r="303" spans="1:10" ht="14.1" customHeight="1" x14ac:dyDescent="0.2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17.787599999999998</v>
      </c>
      <c r="F304" s="39">
        <f>F294+F297+F300+F303</f>
        <v>1777.1324799999998</v>
      </c>
      <c r="G304" s="40">
        <f>D304-F304</f>
        <v>560.86752000000024</v>
      </c>
      <c r="H304" s="39">
        <f>H294+H297+H300+H303</f>
        <v>2354.1546699999999</v>
      </c>
      <c r="I304" s="26"/>
      <c r="J304" s="127"/>
    </row>
    <row r="305" spans="1:10" ht="42" customHeight="1" x14ac:dyDescent="0.25">
      <c r="A305" s="223"/>
      <c r="B305" s="230"/>
      <c r="C305" s="330" t="s">
        <v>111</v>
      </c>
      <c r="D305" s="330"/>
      <c r="E305" s="330"/>
      <c r="F305" s="330"/>
      <c r="G305" s="330"/>
      <c r="H305" s="330"/>
      <c r="I305" s="330"/>
      <c r="J305" s="331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108</v>
      </c>
      <c r="D307" s="152"/>
    </row>
    <row r="308" spans="1:10" ht="15.6" customHeight="1" x14ac:dyDescent="0.2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8.95" customHeight="1" x14ac:dyDescent="0.2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8.95" customHeight="1" x14ac:dyDescent="0.2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8" t="s">
        <v>155</v>
      </c>
      <c r="D316" s="328"/>
      <c r="E316" s="328"/>
      <c r="F316" s="328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2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600000000000001" customHeight="1" x14ac:dyDescent="0.25">
      <c r="A322" s="223"/>
      <c r="B322" s="69"/>
      <c r="C322" s="236" t="s">
        <v>133</v>
      </c>
      <c r="D322" s="237">
        <v>238</v>
      </c>
      <c r="E322" s="29">
        <f>0.36309</f>
        <v>0.36309000000000002</v>
      </c>
      <c r="F322" s="29">
        <f>58.61518</f>
        <v>58.615180000000002</v>
      </c>
      <c r="G322" s="238">
        <f>D322-F322</f>
        <v>179.38481999999999</v>
      </c>
      <c r="H322" s="29">
        <f>60.92434</f>
        <v>60.924340000000001</v>
      </c>
      <c r="I322" s="242"/>
      <c r="J322" s="127"/>
    </row>
    <row r="323" spans="1:10" ht="17.45" customHeight="1" x14ac:dyDescent="0.25">
      <c r="A323" s="223"/>
      <c r="B323" s="69"/>
      <c r="C323" s="239" t="s">
        <v>134</v>
      </c>
      <c r="D323" s="240">
        <v>21237</v>
      </c>
      <c r="E323" s="29">
        <f>9.2725</f>
        <v>9.2725000000000009</v>
      </c>
      <c r="F323" s="29">
        <f>178.26839</f>
        <v>178.26839000000001</v>
      </c>
      <c r="G323" s="241">
        <f>D323-F323</f>
        <v>21058.731609999999</v>
      </c>
      <c r="H323" s="29">
        <f>174.9201</f>
        <v>174.92009999999999</v>
      </c>
      <c r="I323" s="26"/>
      <c r="J323" s="127"/>
    </row>
    <row r="324" spans="1:10" ht="17.100000000000001" customHeight="1" x14ac:dyDescent="0.25">
      <c r="A324" s="223"/>
      <c r="B324" s="69"/>
      <c r="C324" s="310" t="s">
        <v>82</v>
      </c>
      <c r="D324" s="229">
        <f>D322+D323</f>
        <v>21475</v>
      </c>
      <c r="E324" s="39">
        <f>E323+E322</f>
        <v>9.6355900000000005</v>
      </c>
      <c r="F324" s="39">
        <f>F323+F322</f>
        <v>236.88357000000002</v>
      </c>
      <c r="G324" s="39">
        <f>G323+G322</f>
        <v>21238.116429999998</v>
      </c>
      <c r="H324" s="39">
        <f>H323+H322</f>
        <v>235.84443999999999</v>
      </c>
      <c r="I324" s="26"/>
      <c r="J324" s="127"/>
    </row>
    <row r="325" spans="1:10" ht="22.5" customHeight="1" x14ac:dyDescent="0.25">
      <c r="A325" s="223"/>
      <c r="B325" s="69"/>
      <c r="C325" s="326" t="s">
        <v>156</v>
      </c>
      <c r="D325" s="326"/>
      <c r="E325" s="326"/>
      <c r="F325" s="326"/>
      <c r="G325" s="326"/>
      <c r="H325" s="326"/>
      <c r="I325" s="326"/>
      <c r="J325" s="327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108</v>
      </c>
      <c r="D328" s="152"/>
    </row>
    <row r="329" spans="1:10" ht="0" hidden="1" customHeight="1" x14ac:dyDescent="0.2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2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5" t="s">
        <v>128</v>
      </c>
      <c r="D337" s="325"/>
      <c r="E337" s="325"/>
      <c r="F337" s="325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2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2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6" t="s">
        <v>135</v>
      </c>
      <c r="D346" s="326"/>
      <c r="E346" s="326"/>
      <c r="F346" s="326"/>
      <c r="G346" s="326"/>
      <c r="H346" s="326"/>
      <c r="I346" s="326"/>
      <c r="J346" s="327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14&amp;R08.04.2026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2026-04-08T11:56:05Z</dcterms:modified>
</cp:coreProperties>
</file>