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lmal\03 - Ukestatistikk\"/>
    </mc:Choice>
  </mc:AlternateContent>
  <xr:revisionPtr revIDLastSave="0" documentId="13_ncr:1_{5035EC69-A829-468B-BAD8-7B28C2852D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1" l="1"/>
  <c r="H125" i="1" s="1"/>
  <c r="G123" i="1"/>
  <c r="G122" i="1"/>
  <c r="G119" i="1"/>
  <c r="H345" i="1"/>
  <c r="F345" i="1"/>
  <c r="E345" i="1"/>
  <c r="D345" i="1"/>
  <c r="G344" i="1"/>
  <c r="G343" i="1"/>
  <c r="G345" i="1" s="1"/>
  <c r="E336" i="1"/>
  <c r="D324" i="1"/>
  <c r="H323" i="1"/>
  <c r="H324" i="1" s="1"/>
  <c r="F323" i="1"/>
  <c r="F324" i="1" s="1"/>
  <c r="E323" i="1"/>
  <c r="E324" i="1" s="1"/>
  <c r="H322" i="1"/>
  <c r="F322" i="1"/>
  <c r="G322" i="1" s="1"/>
  <c r="E322" i="1"/>
  <c r="E315" i="1"/>
  <c r="D304" i="1"/>
  <c r="H303" i="1"/>
  <c r="F303" i="1"/>
  <c r="G303" i="1" s="1"/>
  <c r="E303" i="1"/>
  <c r="H302" i="1"/>
  <c r="F302" i="1"/>
  <c r="E302" i="1"/>
  <c r="H301" i="1"/>
  <c r="F301" i="1"/>
  <c r="E301" i="1"/>
  <c r="H300" i="1"/>
  <c r="G300" i="1"/>
  <c r="F300" i="1"/>
  <c r="E300" i="1"/>
  <c r="H299" i="1"/>
  <c r="F299" i="1"/>
  <c r="E299" i="1"/>
  <c r="H298" i="1"/>
  <c r="F298" i="1"/>
  <c r="F297" i="1" s="1"/>
  <c r="G297" i="1" s="1"/>
  <c r="E298" i="1"/>
  <c r="E297" i="1" s="1"/>
  <c r="H297" i="1"/>
  <c r="H296" i="1"/>
  <c r="F296" i="1"/>
  <c r="E296" i="1"/>
  <c r="H295" i="1"/>
  <c r="F295" i="1"/>
  <c r="F294" i="1" s="1"/>
  <c r="E295" i="1"/>
  <c r="E294" i="1" s="1"/>
  <c r="E304" i="1" s="1"/>
  <c r="H294" i="1"/>
  <c r="H304" i="1" s="1"/>
  <c r="E273" i="1"/>
  <c r="D273" i="1"/>
  <c r="I272" i="1"/>
  <c r="G272" i="1"/>
  <c r="H272" i="1" s="1"/>
  <c r="F272" i="1"/>
  <c r="I271" i="1"/>
  <c r="G271" i="1"/>
  <c r="H271" i="1" s="1"/>
  <c r="F271" i="1"/>
  <c r="I270" i="1"/>
  <c r="G270" i="1"/>
  <c r="G268" i="1" s="1"/>
  <c r="H268" i="1" s="1"/>
  <c r="F270" i="1"/>
  <c r="I269" i="1"/>
  <c r="G269" i="1"/>
  <c r="F269" i="1"/>
  <c r="I268" i="1"/>
  <c r="F268" i="1"/>
  <c r="I267" i="1"/>
  <c r="H267" i="1"/>
  <c r="G267" i="1"/>
  <c r="F267" i="1"/>
  <c r="I266" i="1"/>
  <c r="H266" i="1"/>
  <c r="H262" i="1" s="1"/>
  <c r="G266" i="1"/>
  <c r="F266" i="1"/>
  <c r="I265" i="1"/>
  <c r="H265" i="1"/>
  <c r="G265" i="1"/>
  <c r="F265" i="1"/>
  <c r="I264" i="1"/>
  <c r="H264" i="1"/>
  <c r="G264" i="1"/>
  <c r="F264" i="1"/>
  <c r="I263" i="1"/>
  <c r="H263" i="1"/>
  <c r="G263" i="1"/>
  <c r="F263" i="1"/>
  <c r="I262" i="1"/>
  <c r="I273" i="1" s="1"/>
  <c r="G262" i="1"/>
  <c r="F262" i="1"/>
  <c r="F273" i="1" s="1"/>
  <c r="E262" i="1"/>
  <c r="D262" i="1"/>
  <c r="H254" i="1"/>
  <c r="F254" i="1"/>
  <c r="D251" i="1"/>
  <c r="D250" i="1"/>
  <c r="E241" i="1"/>
  <c r="D241" i="1"/>
  <c r="H240" i="1"/>
  <c r="F240" i="1"/>
  <c r="G240" i="1" s="1"/>
  <c r="E240" i="1"/>
  <c r="H239" i="1"/>
  <c r="F239" i="1"/>
  <c r="G239" i="1" s="1"/>
  <c r="E239" i="1"/>
  <c r="H238" i="1"/>
  <c r="F238" i="1"/>
  <c r="G238" i="1" s="1"/>
  <c r="E238" i="1"/>
  <c r="H237" i="1"/>
  <c r="H241" i="1" s="1"/>
  <c r="F237" i="1"/>
  <c r="F241" i="1" s="1"/>
  <c r="G241" i="1" s="1"/>
  <c r="E237" i="1"/>
  <c r="D230" i="1"/>
  <c r="D219" i="1"/>
  <c r="H218" i="1"/>
  <c r="G218" i="1"/>
  <c r="F218" i="1"/>
  <c r="E218" i="1"/>
  <c r="H217" i="1"/>
  <c r="F217" i="1"/>
  <c r="E217" i="1"/>
  <c r="E215" i="1" s="1"/>
  <c r="E219" i="1" s="1"/>
  <c r="H216" i="1"/>
  <c r="H215" i="1" s="1"/>
  <c r="H219" i="1" s="1"/>
  <c r="F216" i="1"/>
  <c r="E216" i="1"/>
  <c r="F215" i="1"/>
  <c r="G215" i="1" s="1"/>
  <c r="D206" i="1"/>
  <c r="H205" i="1"/>
  <c r="G205" i="1"/>
  <c r="F205" i="1"/>
  <c r="E205" i="1"/>
  <c r="H204" i="1"/>
  <c r="H202" i="1" s="1"/>
  <c r="H206" i="1" s="1"/>
  <c r="F204" i="1"/>
  <c r="E204" i="1"/>
  <c r="H203" i="1"/>
  <c r="F203" i="1"/>
  <c r="F202" i="1" s="1"/>
  <c r="E203" i="1"/>
  <c r="E202" i="1" s="1"/>
  <c r="E206" i="1" s="1"/>
  <c r="G192" i="1"/>
  <c r="F192" i="1"/>
  <c r="E192" i="1"/>
  <c r="D192" i="1"/>
  <c r="H192" i="1" s="1"/>
  <c r="I191" i="1"/>
  <c r="H191" i="1"/>
  <c r="G191" i="1"/>
  <c r="F191" i="1"/>
  <c r="I190" i="1"/>
  <c r="H190" i="1"/>
  <c r="G190" i="1"/>
  <c r="F190" i="1"/>
  <c r="I189" i="1"/>
  <c r="I192" i="1" s="1"/>
  <c r="H189" i="1"/>
  <c r="G189" i="1"/>
  <c r="F189" i="1"/>
  <c r="D169" i="1"/>
  <c r="H168" i="1"/>
  <c r="G168" i="1"/>
  <c r="F168" i="1"/>
  <c r="E168" i="1"/>
  <c r="H167" i="1"/>
  <c r="F167" i="1"/>
  <c r="G167" i="1" s="1"/>
  <c r="E167" i="1"/>
  <c r="H166" i="1"/>
  <c r="F166" i="1"/>
  <c r="E166" i="1"/>
  <c r="H165" i="1"/>
  <c r="F165" i="1"/>
  <c r="F163" i="1" s="1"/>
  <c r="G163" i="1" s="1"/>
  <c r="E165" i="1"/>
  <c r="H164" i="1"/>
  <c r="H163" i="1" s="1"/>
  <c r="F164" i="1"/>
  <c r="E164" i="1"/>
  <c r="E163" i="1"/>
  <c r="H162" i="1"/>
  <c r="G162" i="1"/>
  <c r="F162" i="1"/>
  <c r="E162" i="1"/>
  <c r="H161" i="1"/>
  <c r="F161" i="1"/>
  <c r="E161" i="1"/>
  <c r="H160" i="1"/>
  <c r="H169" i="1" s="1"/>
  <c r="F160" i="1"/>
  <c r="F169" i="1" s="1"/>
  <c r="G169" i="1" s="1"/>
  <c r="E160" i="1"/>
  <c r="E169" i="1" s="1"/>
  <c r="I135" i="1"/>
  <c r="G135" i="1"/>
  <c r="H135" i="1" s="1"/>
  <c r="F135" i="1"/>
  <c r="I134" i="1"/>
  <c r="G134" i="1"/>
  <c r="H134" i="1" s="1"/>
  <c r="F134" i="1"/>
  <c r="H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I127" i="1"/>
  <c r="I126" i="1" s="1"/>
  <c r="I120" i="1" s="1"/>
  <c r="H127" i="1"/>
  <c r="H126" i="1" s="1"/>
  <c r="G127" i="1"/>
  <c r="G126" i="1" s="1"/>
  <c r="F127" i="1"/>
  <c r="F126" i="1" s="1"/>
  <c r="E126" i="1"/>
  <c r="E120" i="1" s="1"/>
  <c r="E137" i="1" s="1"/>
  <c r="D126" i="1"/>
  <c r="D120" i="1" s="1"/>
  <c r="I125" i="1"/>
  <c r="F125" i="1"/>
  <c r="I124" i="1"/>
  <c r="G124" i="1"/>
  <c r="H124" i="1" s="1"/>
  <c r="F124" i="1"/>
  <c r="I123" i="1"/>
  <c r="H123" i="1"/>
  <c r="F123" i="1"/>
  <c r="I122" i="1"/>
  <c r="H122" i="1"/>
  <c r="F122" i="1"/>
  <c r="F121" i="1" s="1"/>
  <c r="F120" i="1" s="1"/>
  <c r="I121" i="1"/>
  <c r="E121" i="1"/>
  <c r="D121" i="1"/>
  <c r="I119" i="1"/>
  <c r="H119" i="1"/>
  <c r="F119" i="1"/>
  <c r="I118" i="1"/>
  <c r="H118" i="1"/>
  <c r="G118" i="1"/>
  <c r="F118" i="1"/>
  <c r="I117" i="1"/>
  <c r="G117" i="1"/>
  <c r="H117" i="1" s="1"/>
  <c r="F117" i="1"/>
  <c r="F115" i="1" s="1"/>
  <c r="F137" i="1" s="1"/>
  <c r="I116" i="1"/>
  <c r="I115" i="1" s="1"/>
  <c r="I137" i="1" s="1"/>
  <c r="H116" i="1"/>
  <c r="H115" i="1" s="1"/>
  <c r="G116" i="1"/>
  <c r="F116" i="1"/>
  <c r="G115" i="1"/>
  <c r="E115" i="1"/>
  <c r="D115" i="1"/>
  <c r="D137" i="1" s="1"/>
  <c r="C113" i="1"/>
  <c r="E94" i="1"/>
  <c r="I93" i="1"/>
  <c r="G93" i="1"/>
  <c r="H93" i="1" s="1"/>
  <c r="F93" i="1"/>
  <c r="I92" i="1"/>
  <c r="G92" i="1"/>
  <c r="H92" i="1" s="1"/>
  <c r="F92" i="1"/>
  <c r="I91" i="1"/>
  <c r="G91" i="1"/>
  <c r="H91" i="1" s="1"/>
  <c r="F91" i="1"/>
  <c r="I90" i="1"/>
  <c r="G90" i="1"/>
  <c r="H90" i="1" s="1"/>
  <c r="F90" i="1"/>
  <c r="I89" i="1"/>
  <c r="G89" i="1"/>
  <c r="H89" i="1" s="1"/>
  <c r="F89" i="1"/>
  <c r="I88" i="1"/>
  <c r="G88" i="1"/>
  <c r="H88" i="1" s="1"/>
  <c r="F88" i="1"/>
  <c r="I87" i="1"/>
  <c r="G87" i="1"/>
  <c r="H87" i="1" s="1"/>
  <c r="F87" i="1"/>
  <c r="I86" i="1"/>
  <c r="G86" i="1"/>
  <c r="H86" i="1" s="1"/>
  <c r="F86" i="1"/>
  <c r="I85" i="1"/>
  <c r="G85" i="1"/>
  <c r="H85" i="1" s="1"/>
  <c r="F85" i="1"/>
  <c r="I84" i="1"/>
  <c r="G84" i="1"/>
  <c r="H84" i="1" s="1"/>
  <c r="F84" i="1"/>
  <c r="F83" i="1" s="1"/>
  <c r="F82" i="1" s="1"/>
  <c r="F94" i="1" s="1"/>
  <c r="I83" i="1"/>
  <c r="E83" i="1"/>
  <c r="D83" i="1"/>
  <c r="D82" i="1" s="1"/>
  <c r="I82" i="1"/>
  <c r="E82" i="1"/>
  <c r="I81" i="1"/>
  <c r="G81" i="1"/>
  <c r="H81" i="1" s="1"/>
  <c r="F81" i="1"/>
  <c r="I80" i="1"/>
  <c r="I79" i="1" s="1"/>
  <c r="I94" i="1" s="1"/>
  <c r="G80" i="1"/>
  <c r="H80" i="1" s="1"/>
  <c r="F80" i="1"/>
  <c r="F79" i="1"/>
  <c r="E79" i="1"/>
  <c r="D79" i="1"/>
  <c r="C76" i="1"/>
  <c r="H72" i="1"/>
  <c r="F72" i="1"/>
  <c r="D72" i="1"/>
  <c r="H58" i="1"/>
  <c r="H57" i="1"/>
  <c r="I52" i="1"/>
  <c r="I31" i="1" s="1"/>
  <c r="G52" i="1"/>
  <c r="H52" i="1" s="1"/>
  <c r="F52" i="1"/>
  <c r="I41" i="1"/>
  <c r="H41" i="1"/>
  <c r="G41" i="1"/>
  <c r="F41" i="1"/>
  <c r="I40" i="1"/>
  <c r="G40" i="1"/>
  <c r="H40" i="1" s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I34" i="1"/>
  <c r="I33" i="1" s="1"/>
  <c r="G34" i="1"/>
  <c r="G33" i="1" s="1"/>
  <c r="F34" i="1"/>
  <c r="F33" i="1"/>
  <c r="E33" i="1"/>
  <c r="E25" i="1" s="1"/>
  <c r="D33" i="1"/>
  <c r="I32" i="1"/>
  <c r="G32" i="1"/>
  <c r="H32" i="1" s="1"/>
  <c r="F32" i="1"/>
  <c r="G31" i="1"/>
  <c r="H31" i="1" s="1"/>
  <c r="F31" i="1"/>
  <c r="I30" i="1"/>
  <c r="G30" i="1"/>
  <c r="H30" i="1" s="1"/>
  <c r="F30" i="1"/>
  <c r="I29" i="1"/>
  <c r="G29" i="1"/>
  <c r="H29" i="1" s="1"/>
  <c r="F29" i="1"/>
  <c r="I28" i="1"/>
  <c r="G28" i="1"/>
  <c r="H28" i="1" s="1"/>
  <c r="F28" i="1"/>
  <c r="I27" i="1"/>
  <c r="G27" i="1"/>
  <c r="F27" i="1"/>
  <c r="F26" i="1" s="1"/>
  <c r="E26" i="1"/>
  <c r="D26" i="1"/>
  <c r="D25" i="1" s="1"/>
  <c r="I24" i="1"/>
  <c r="G24" i="1"/>
  <c r="H24" i="1" s="1"/>
  <c r="H22" i="1" s="1"/>
  <c r="F24" i="1"/>
  <c r="I23" i="1"/>
  <c r="I22" i="1" s="1"/>
  <c r="G23" i="1"/>
  <c r="H23" i="1" s="1"/>
  <c r="F23" i="1"/>
  <c r="G22" i="1"/>
  <c r="F22" i="1"/>
  <c r="E22" i="1"/>
  <c r="E42" i="1" s="1"/>
  <c r="D22" i="1"/>
  <c r="D42" i="1" s="1"/>
  <c r="H16" i="1"/>
  <c r="F16" i="1"/>
  <c r="D16" i="1"/>
  <c r="H121" i="1" l="1"/>
  <c r="H120" i="1" s="1"/>
  <c r="I26" i="1"/>
  <c r="I25" i="1" s="1"/>
  <c r="I42" i="1" s="1"/>
  <c r="G26" i="1"/>
  <c r="G25" i="1" s="1"/>
  <c r="G42" i="1" s="1"/>
  <c r="F25" i="1"/>
  <c r="F42" i="1" s="1"/>
  <c r="G202" i="1"/>
  <c r="F206" i="1"/>
  <c r="G206" i="1" s="1"/>
  <c r="H79" i="1"/>
  <c r="H83" i="1"/>
  <c r="H82" i="1" s="1"/>
  <c r="H137" i="1"/>
  <c r="D94" i="1"/>
  <c r="G137" i="1"/>
  <c r="G273" i="1"/>
  <c r="H273" i="1"/>
  <c r="F304" i="1"/>
  <c r="G304" i="1" s="1"/>
  <c r="G294" i="1"/>
  <c r="H33" i="1"/>
  <c r="H25" i="1" s="1"/>
  <c r="H42" i="1" s="1"/>
  <c r="G79" i="1"/>
  <c r="G94" i="1" s="1"/>
  <c r="H27" i="1"/>
  <c r="H26" i="1" s="1"/>
  <c r="G83" i="1"/>
  <c r="G82" i="1" s="1"/>
  <c r="G323" i="1"/>
  <c r="G324" i="1" s="1"/>
  <c r="G121" i="1"/>
  <c r="G120" i="1" s="1"/>
  <c r="G237" i="1"/>
  <c r="H34" i="1"/>
  <c r="G160" i="1"/>
  <c r="F219" i="1"/>
  <c r="G219" i="1" s="1"/>
  <c r="H94" i="1" l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<sst xmlns="http://schemas.openxmlformats.org/spreadsheetml/2006/main" count="393" uniqueCount="167">
  <si>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</si>
  <si>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</si>
  <si>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</si>
  <si>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</si>
  <si>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</si>
  <si>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</si>
  <si>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</si>
  <si>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</si>
  <si>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</si>
  <si>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</si>
  <si>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</si>
  <si>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</si>
  <si>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</si>
  <si>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</si>
  <si>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</si>
  <si>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</si>
  <si>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</si>
  <si>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</si>
  <si>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</si>
  <si>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</si>
  <si>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</si>
  <si>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</si>
  <si>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</si>
  <si>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</si>
  <si>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</si>
  <si>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</si>
  <si>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</si>
  <si>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</si>
  <si>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</si>
  <si>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</si>
  <si>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</si>
  <si>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</si>
  <si>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</si>
  <si>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</si>
  <si>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</si>
  <si>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</si>
  <si>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</si>
  <si>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</si>
  <si>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</si>
  <si>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</si>
  <si>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</si>
  <si>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</si>
  <si>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</si>
  <si>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</si>
  <si>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</si>
  <si>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</si>
  <si>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</si>
  <si>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</si>
  <si>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</si>
  <si>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</si>
  <si>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</si>
  <si>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</si>
  <si>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</si>
  <si>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</si>
  <si>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</si>
  <si>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</si>
  <si>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</si>
  <si>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</si>
  <si>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</si>
  <si>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</si>
  <si>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</si>
  <si>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</si>
  <si>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</si>
  <si>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</si>
  <si>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</si>
  <si>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</si>
  <si>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</si>
  <si>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</si>
  <si>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</si>
  <si>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</si>
  <si>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</si>
  <si>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</si>
  <si>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</si>
  <si>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</si>
  <si>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</si>
  <si>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</si>
  <si>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</si>
  <si>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</si>
  <si>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</si>
  <si>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</si>
  <si>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</si>
  <si>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</si>
  <si>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</si>
  <si>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</si>
  <si>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</si>
  <si>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</si>
  <si>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</si>
  <si>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</si>
  <si>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</si>
  <si>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</si>
  <si>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</si>
  <si>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</si>
  <si>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</si>
  <si>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</si>
  <si>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</si>
  <si>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</si>
  <si>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</si>
  <si>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</si>
  <si>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</si>
  <si>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</si>
  <si>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</si>
  <si>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</si>
  <si>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</si>
  <si>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</si>
  <si>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</si>
  <si>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</si>
  <si>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</si>
  <si>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</si>
  <si>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</si>
  <si>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</si>
  <si>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</si>
  <si>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</si>
  <si>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</si>
  <si>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</si>
  <si>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</si>
  <si>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</si>
  <si>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</si>
  <si>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</si>
  <si>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</si>
  <si>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</si>
  <si>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</si>
  <si>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</si>
  <si>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</si>
  <si>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</si>
  <si>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</si>
  <si>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</si>
  <si>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</si>
  <si>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</si>
  <si>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</si>
  <si>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</si>
  <si>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</si>
  <si>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</si>
  <si>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</si>
  <si>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</si>
  <si>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</si>
  <si>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</si>
  <si>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</si>
  <si>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</si>
  <si>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</si>
  <si>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</si>
  <si>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</si>
  <si>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</si>
  <si>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</si>
  <si>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</si>
  <si>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</si>
  <si>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</si>
  <si>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</si>
  <si>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</si>
  <si>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</si>
  <si>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</si>
  <si>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</si>
  <si>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</si>
  <si>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</si>
  <si>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</si>
  <si>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</si>
  <si>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</si>
  <si>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</si>
  <si>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</si>
  <si>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t>2 Registrert rekreasjonsfiske utgjør 42 tonn, men det legges til grunn at hele avsetningen tas</t>
  </si>
  <si>
    <t>4 Registrert rekreasjonsfiske utgjør 252 tonn, men det legges til grunn at hele avsetningen tas</t>
  </si>
  <si>
    <t>3 Registrert rekreasjonsfiske utgjør 602 tonn, men det legges til grunn at hele avsetningen tas</t>
  </si>
  <si>
    <t>FANGST UKE 28</t>
  </si>
  <si>
    <t>FANGST T.O.M UKE 28</t>
  </si>
  <si>
    <t>RESTKVOTER UKE 28</t>
  </si>
  <si>
    <t>FANGST T.O.M UKE 28 2024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</si>
  <si>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</si>
  <si>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1 188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</si>
</sst>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279" zoomScale="112" zoomScaleNormal="55" zoomScaleSheetLayoutView="100" zoomScalePageLayoutView="85" workbookViewId="0">
      <selection activeCell="F289" sqref="F289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27" t="s">
        <v>123</v>
      </c>
      <c r="C2" s="328"/>
      <c r="D2" s="328"/>
      <c r="E2" s="328"/>
      <c r="F2" s="328"/>
      <c r="G2" s="328"/>
      <c r="H2" s="328"/>
      <c r="I2" s="328"/>
      <c r="J2" s="329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30"/>
      <c r="C9" s="331"/>
      <c r="D9" s="331"/>
      <c r="E9" s="331"/>
      <c r="F9" s="331"/>
      <c r="G9" s="331"/>
      <c r="H9" s="331"/>
      <c r="I9" s="331"/>
      <c r="J9" s="332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24" t="s">
        <v>1</v>
      </c>
      <c r="D11" s="325"/>
      <c r="E11" s="324" t="s">
        <v>2</v>
      </c>
      <c r="F11" s="325"/>
      <c r="G11" s="324" t="s">
        <v>3</v>
      </c>
      <c r="H11" s="325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73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17" t="s">
        <v>142</v>
      </c>
      <c r="D17" s="317"/>
      <c r="E17" s="317"/>
      <c r="F17" s="317"/>
      <c r="G17" s="317"/>
      <c r="H17" s="317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161</v>
      </c>
      <c r="G21" s="68" t="s">
        <v>162</v>
      </c>
      <c r="H21" s="68" t="s">
        <v>163</v>
      </c>
      <c r="I21" s="68" t="s">
        <v>164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24.713999999999999</v>
      </c>
      <c r="G22" s="27">
        <f t="shared" si="0"/>
        <v>20347.2281</v>
      </c>
      <c r="H22" s="10">
        <f t="shared" si="0"/>
        <v>21238.7719</v>
      </c>
      <c r="I22" s="10">
        <f t="shared" si="0"/>
        <v>37329.481800000001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8.877</f>
        <v>8.8770000000000007</v>
      </c>
      <c r="G23" s="22">
        <f>19976.76845</f>
        <v>19976.76845</v>
      </c>
      <c r="H23" s="22">
        <f>E23-G23</f>
        <v>20846.23155</v>
      </c>
      <c r="I23" s="22">
        <f>36809.79372</f>
        <v>36809.793720000001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15.837</f>
        <v>15.837</v>
      </c>
      <c r="G24" s="22">
        <f>370.45965</f>
        <v>370.45965000000001</v>
      </c>
      <c r="H24" s="22">
        <f>E24-G24</f>
        <v>392.54034999999999</v>
      </c>
      <c r="I24" s="22">
        <f>519.68808</f>
        <v>519.68808000000001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867.66070999999999</v>
      </c>
      <c r="G25" s="10">
        <f t="shared" si="1"/>
        <v>100102.38951000001</v>
      </c>
      <c r="H25" s="10">
        <f t="shared" si="1"/>
        <v>21565.610490000003</v>
      </c>
      <c r="I25" s="10">
        <f t="shared" si="1"/>
        <v>118487.51987999999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760.70808999999997</v>
      </c>
      <c r="G26" s="129">
        <f>G27+G28+G29+G30+G31</f>
        <v>78379.966250000012</v>
      </c>
      <c r="H26" s="129">
        <f t="shared" ref="H26:I26" si="2">H27+H28+H29+H30+H31</f>
        <v>16513.033750000002</v>
      </c>
      <c r="I26" s="129">
        <f t="shared" si="2"/>
        <v>94047.124899999995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71.09104 - F55</f>
        <v>71.091040000000007</v>
      </c>
      <c r="G27" s="123">
        <f>22557.81454 - G55</f>
        <v>22557.814539999999</v>
      </c>
      <c r="H27" s="123">
        <f t="shared" ref="H27:H39" si="3">E27-G27</f>
        <v>2595.1854600000006</v>
      </c>
      <c r="I27" s="123">
        <f>25635.04797 - I55</f>
        <v>25635.04797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101.32021 - F56</f>
        <v>101.32021</v>
      </c>
      <c r="G28" s="123">
        <f>21905.07487 - G56</f>
        <v>21905.07487</v>
      </c>
      <c r="H28" s="123">
        <f t="shared" si="3"/>
        <v>2088.9251299999996</v>
      </c>
      <c r="I28" s="123">
        <f>27002.94779 - I56</f>
        <v>27002.947789999998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178.8483 - F57</f>
        <v>178.84829999999999</v>
      </c>
      <c r="G29" s="123">
        <f>20907.86349 - G57</f>
        <v>20907.86349</v>
      </c>
      <c r="H29" s="123">
        <f t="shared" si="3"/>
        <v>962.13651000000027</v>
      </c>
      <c r="I29" s="123">
        <f>25433.78728 - I57</f>
        <v>25433.78728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430.44854 - F58</f>
        <v>409.44853999999998</v>
      </c>
      <c r="G30" s="123">
        <f>14912.21335 - G58</f>
        <v>13009.21335</v>
      </c>
      <c r="H30" s="123">
        <f t="shared" si="3"/>
        <v>2635.78665</v>
      </c>
      <c r="I30" s="123">
        <f>18621.34186 - I58</f>
        <v>15975.34186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0.06195</f>
        <v>6.1949999999999998E-2</v>
      </c>
      <c r="G32" s="129">
        <f>8903.76998</f>
        <v>8903.7699799999991</v>
      </c>
      <c r="H32" s="129">
        <f t="shared" si="3"/>
        <v>4775.2300200000009</v>
      </c>
      <c r="I32" s="129">
        <f>10219.76829</f>
        <v>10219.76829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106.89067</v>
      </c>
      <c r="G33" s="129">
        <f>G34+G35</f>
        <v>12818.65328</v>
      </c>
      <c r="H33" s="129">
        <f t="shared" si="3"/>
        <v>277.34671999999955</v>
      </c>
      <c r="I33" s="129">
        <f>I34+I35</f>
        <v>14220.626689999999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106.89067 - F59 - F60</f>
        <v>106.89067</v>
      </c>
      <c r="G34" s="129">
        <f>12818.65328 - G59 - G60</f>
        <v>12818.65328</v>
      </c>
      <c r="H34" s="123">
        <f t="shared" si="3"/>
        <v>-682.65328000000045</v>
      </c>
      <c r="I34" s="123">
        <f>14220.62669 - I59 - I60</f>
        <v>14220.626689999999</v>
      </c>
      <c r="J34" s="63"/>
    </row>
    <row r="35" spans="1:10" ht="14.15" customHeight="1" x14ac:dyDescent="0.35">
      <c r="A35" s="192"/>
      <c r="B35" s="176"/>
      <c r="C35" s="66" t="s">
        <v>32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77"/>
      <c r="C36" s="70" t="s">
        <v>33</v>
      </c>
      <c r="D36" s="140">
        <v>1000</v>
      </c>
      <c r="E36" s="140">
        <v>1000</v>
      </c>
      <c r="F36" s="136">
        <f>0</f>
        <v>0</v>
      </c>
      <c r="G36" s="136">
        <f>271.886</f>
        <v>271.88600000000002</v>
      </c>
      <c r="H36" s="136">
        <f t="shared" si="3"/>
        <v>728.11400000000003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34</v>
      </c>
      <c r="D37" s="140">
        <v>855</v>
      </c>
      <c r="E37" s="140">
        <v>855</v>
      </c>
      <c r="F37" s="95">
        <f>0</f>
        <v>0</v>
      </c>
      <c r="G37" s="95">
        <f>551.24825</f>
        <v>551.24824999999998</v>
      </c>
      <c r="H37" s="95">
        <f t="shared" si="3"/>
        <v>303.75175000000002</v>
      </c>
      <c r="I37" s="95">
        <f>463.82117</f>
        <v>463.82117</v>
      </c>
      <c r="J37" s="267"/>
    </row>
    <row r="38" spans="1:10" ht="17.25" customHeight="1" x14ac:dyDescent="0.35">
      <c r="A38" s="1"/>
      <c r="B38" s="277"/>
      <c r="C38" s="70" t="s">
        <v>35</v>
      </c>
      <c r="D38" s="140">
        <v>3000</v>
      </c>
      <c r="E38" s="140">
        <v>3000</v>
      </c>
      <c r="F38" s="95">
        <f>F58</f>
        <v>21</v>
      </c>
      <c r="G38" s="95">
        <f>G58</f>
        <v>1903</v>
      </c>
      <c r="H38" s="95">
        <f t="shared" si="3"/>
        <v>1097</v>
      </c>
      <c r="I38" s="95">
        <f>I58</f>
        <v>2646</v>
      </c>
      <c r="J38" s="267"/>
    </row>
    <row r="39" spans="1:10" ht="17.25" customHeight="1" x14ac:dyDescent="0.35">
      <c r="A39" s="1"/>
      <c r="B39" s="277"/>
      <c r="C39" s="70" t="s">
        <v>36</v>
      </c>
      <c r="D39" s="140">
        <v>7000</v>
      </c>
      <c r="E39" s="140">
        <v>7000</v>
      </c>
      <c r="F39" s="95">
        <f>26.77516</f>
        <v>26.77516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38</v>
      </c>
      <c r="D40" s="140">
        <v>450</v>
      </c>
      <c r="E40" s="140">
        <v>450</v>
      </c>
      <c r="F40" s="95">
        <f>1.293</f>
        <v>1.2929999999999999</v>
      </c>
      <c r="G40" s="95">
        <f>366.19913</f>
        <v>366.19913000000003</v>
      </c>
      <c r="H40" s="95">
        <f>E40-G40</f>
        <v>83.800869999999975</v>
      </c>
      <c r="I40" s="95">
        <f>322.45731</f>
        <v>322.45731000000001</v>
      </c>
      <c r="J40" s="267"/>
    </row>
    <row r="41" spans="1:10" ht="14.15" customHeight="1" x14ac:dyDescent="0.35">
      <c r="A41" s="1"/>
      <c r="B41" s="277"/>
      <c r="C41" s="70" t="s">
        <v>39</v>
      </c>
      <c r="D41" s="140"/>
      <c r="E41" s="136"/>
      <c r="F41" s="136">
        <f>0</f>
        <v>0</v>
      </c>
      <c r="G41" s="136">
        <f>66.65963</f>
        <v>66.659630000000007</v>
      </c>
      <c r="H41" s="136">
        <f t="shared" ref="H41" si="4">E41-G41</f>
        <v>-66.659630000000007</v>
      </c>
      <c r="I41" s="136">
        <f>85.43626</f>
        <v>85.436260000000004</v>
      </c>
      <c r="J41" s="267"/>
    </row>
    <row r="42" spans="1:10" ht="16.5" customHeight="1" x14ac:dyDescent="0.35">
      <c r="A42" s="1"/>
      <c r="B42" s="277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941.44287000000008</v>
      </c>
      <c r="G42" s="73">
        <f t="shared" si="5"/>
        <v>130608.61062000001</v>
      </c>
      <c r="H42" s="73">
        <f t="shared" si="5"/>
        <v>44950.389380000001</v>
      </c>
      <c r="I42" s="73">
        <f t="shared" si="5"/>
        <v>166683.07762</v>
      </c>
      <c r="J42" s="267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160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138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0" t="s">
        <v>43</v>
      </c>
      <c r="D49" s="320"/>
      <c r="E49" s="320"/>
      <c r="F49" s="320"/>
      <c r="G49" s="320"/>
      <c r="H49" s="320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161</v>
      </c>
      <c r="G51" s="68" t="s">
        <v>162</v>
      </c>
      <c r="H51" s="68" t="s">
        <v>163</v>
      </c>
      <c r="I51" s="68" t="s">
        <v>164</v>
      </c>
      <c r="J51" s="267"/>
    </row>
    <row r="52" spans="1:10" ht="14.15" customHeight="1" x14ac:dyDescent="0.35">
      <c r="A52" s="101"/>
      <c r="B52" s="24"/>
      <c r="C52" s="15" t="s">
        <v>45</v>
      </c>
      <c r="D52" s="321">
        <v>7872</v>
      </c>
      <c r="E52" s="321">
        <v>8231</v>
      </c>
      <c r="F52" s="10">
        <f>F56+F55+F54+F53</f>
        <v>0</v>
      </c>
      <c r="G52" s="10">
        <f>G56+G55+G54+G53</f>
        <v>0</v>
      </c>
      <c r="H52" s="321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322"/>
      <c r="E53" s="322"/>
      <c r="F53" s="123"/>
      <c r="G53" s="123"/>
      <c r="H53" s="322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322"/>
      <c r="E54" s="322"/>
      <c r="F54" s="123"/>
      <c r="G54" s="123"/>
      <c r="H54" s="322"/>
      <c r="I54" s="123"/>
      <c r="J54" s="267"/>
    </row>
    <row r="55" spans="1:10" ht="14.15" customHeight="1" x14ac:dyDescent="0.35">
      <c r="A55" s="101"/>
      <c r="B55" s="24"/>
      <c r="C55" s="60" t="s">
        <v>26</v>
      </c>
      <c r="D55" s="322"/>
      <c r="E55" s="322"/>
      <c r="F55" s="123"/>
      <c r="G55" s="123"/>
      <c r="H55" s="322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323"/>
      <c r="E56" s="323"/>
      <c r="F56" s="186"/>
      <c r="G56" s="186"/>
      <c r="H56" s="323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67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21</v>
      </c>
      <c r="G58" s="136">
        <v>1903</v>
      </c>
      <c r="H58" s="136">
        <f>E58-G58</f>
        <v>1097</v>
      </c>
      <c r="I58" s="136">
        <v>2646</v>
      </c>
      <c r="J58" s="117"/>
    </row>
    <row r="59" spans="1:10" ht="14.15" customHeight="1" x14ac:dyDescent="0.35">
      <c r="A59" s="101"/>
      <c r="B59" s="24"/>
      <c r="C59" s="74" t="s">
        <v>165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24" t="s">
        <v>1</v>
      </c>
      <c r="D68" s="325"/>
      <c r="E68" s="324" t="s">
        <v>2</v>
      </c>
      <c r="F68" s="326"/>
      <c r="G68" s="324" t="s">
        <v>3</v>
      </c>
      <c r="H68" s="325"/>
      <c r="I68" s="173"/>
      <c r="J68" s="267"/>
    </row>
    <row r="69" spans="1:10" ht="15" customHeight="1" x14ac:dyDescent="0.35">
      <c r="B69" s="277"/>
      <c r="C69" s="110" t="s">
        <v>141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143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50</v>
      </c>
      <c r="F78" s="14" t="s">
        <v>161</v>
      </c>
      <c r="G78" s="14" t="s">
        <v>162</v>
      </c>
      <c r="H78" s="14" t="s">
        <v>163</v>
      </c>
      <c r="I78" s="14" t="s">
        <v>164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4.1411999999999995</v>
      </c>
      <c r="G79" s="10">
        <f t="shared" si="6"/>
        <v>19493.665860000001</v>
      </c>
      <c r="H79" s="10">
        <f t="shared" si="6"/>
        <v>6647.334139999999</v>
      </c>
      <c r="I79" s="10">
        <f t="shared" si="6"/>
        <v>23218.776139999998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3.0604</f>
        <v>3.0604</v>
      </c>
      <c r="G80" s="22">
        <f>19056.50284</f>
        <v>19056.502840000001</v>
      </c>
      <c r="H80" s="22">
        <f>E80-G80</f>
        <v>6259.497159999999</v>
      </c>
      <c r="I80" s="22">
        <f>22440.53889</f>
        <v>22440.53889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1.0808</f>
        <v>1.0808</v>
      </c>
      <c r="G81" s="48">
        <f>437.16302</f>
        <v>437.16302000000002</v>
      </c>
      <c r="H81" s="48">
        <f>E81-G81</f>
        <v>387.83697999999998</v>
      </c>
      <c r="I81" s="48">
        <f>778.23725</f>
        <v>778.23725000000002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644.83974000000001</v>
      </c>
      <c r="G82" s="10">
        <f t="shared" si="7"/>
        <v>26259.296829999999</v>
      </c>
      <c r="H82" s="10">
        <f t="shared" si="7"/>
        <v>17869.703170000001</v>
      </c>
      <c r="I82" s="10">
        <f t="shared" si="7"/>
        <v>32591.468880000004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622.43714999999997</v>
      </c>
      <c r="G83" s="129">
        <f t="shared" si="8"/>
        <v>20587.78513</v>
      </c>
      <c r="H83" s="129">
        <f t="shared" si="8"/>
        <v>11917.21487</v>
      </c>
      <c r="I83" s="129">
        <f t="shared" si="8"/>
        <v>25734.331590000002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18.68965</f>
        <v>18.68965</v>
      </c>
      <c r="G84" s="123">
        <f>2974.82218</f>
        <v>2974.8221800000001</v>
      </c>
      <c r="H84" s="123">
        <f t="shared" ref="H84:H91" si="9">E84-G84</f>
        <v>6029.1778199999999</v>
      </c>
      <c r="I84" s="123">
        <f>4188.96115</f>
        <v>4188.9611500000001</v>
      </c>
      <c r="J84" s="267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127.44136</f>
        <v>127.44136</v>
      </c>
      <c r="G85" s="123">
        <f>5468.20866</f>
        <v>5468.2086600000002</v>
      </c>
      <c r="H85" s="123">
        <f t="shared" si="9"/>
        <v>3606.7913399999998</v>
      </c>
      <c r="I85" s="123">
        <f>8749.65602</f>
        <v>8749.6560200000004</v>
      </c>
      <c r="J85" s="267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95.87754</f>
        <v>95.877539999999996</v>
      </c>
      <c r="G86" s="123">
        <f>6739.81857</f>
        <v>6739.8185700000004</v>
      </c>
      <c r="H86" s="123">
        <f t="shared" si="9"/>
        <v>1909.1814299999996</v>
      </c>
      <c r="I86" s="123">
        <f>7841.10923</f>
        <v>7841.10923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380.4286</f>
        <v>380.42860000000002</v>
      </c>
      <c r="G87" s="123">
        <f>5404.93572</f>
        <v>5404.9357200000004</v>
      </c>
      <c r="H87" s="123">
        <f t="shared" si="9"/>
        <v>372.0642799999996</v>
      </c>
      <c r="I87" s="123">
        <f>4954.60519</f>
        <v>4954.6051900000002</v>
      </c>
      <c r="J87" s="267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0.00912</f>
        <v>9.1199999999999996E-3</v>
      </c>
      <c r="G88" s="129">
        <f>4453.2649</f>
        <v>4453.2649000000001</v>
      </c>
      <c r="H88" s="129">
        <f t="shared" si="9"/>
        <v>3663.7350999999999</v>
      </c>
      <c r="I88" s="129">
        <f>4996.38533</f>
        <v>4996.3853300000001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22.39347</f>
        <v>22.393470000000001</v>
      </c>
      <c r="G89" s="72">
        <f>1218.2468</f>
        <v>1218.2467999999999</v>
      </c>
      <c r="H89" s="72">
        <f t="shared" si="9"/>
        <v>2288.7532000000001</v>
      </c>
      <c r="I89" s="72">
        <f>1860.75196</f>
        <v>1860.7519600000001</v>
      </c>
      <c r="J89" s="267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2.0692</f>
        <v>2.0691999999999999</v>
      </c>
      <c r="G90" s="95">
        <f>31.14187</f>
        <v>31.141870000000001</v>
      </c>
      <c r="H90" s="95">
        <f t="shared" si="9"/>
        <v>287.85813000000002</v>
      </c>
      <c r="I90" s="95">
        <f>36.10176</f>
        <v>36.101759999999999</v>
      </c>
      <c r="J90" s="267"/>
    </row>
    <row r="91" spans="1:10" ht="18" customHeight="1" x14ac:dyDescent="0.35">
      <c r="A91" s="1"/>
      <c r="B91" s="277"/>
      <c r="C91" s="70" t="s">
        <v>54</v>
      </c>
      <c r="D91" s="140">
        <v>300</v>
      </c>
      <c r="E91" s="140">
        <v>300</v>
      </c>
      <c r="F91" s="136">
        <f>1.3704</f>
        <v>1.3704000000000001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38</v>
      </c>
      <c r="D92" s="140">
        <v>50</v>
      </c>
      <c r="E92" s="140">
        <v>50</v>
      </c>
      <c r="F92" s="95">
        <f>0</f>
        <v>0</v>
      </c>
      <c r="G92" s="95">
        <f>12.05594</f>
        <v>12.05594</v>
      </c>
      <c r="H92" s="136">
        <f>E92-G92</f>
        <v>37.94406</v>
      </c>
      <c r="I92" s="95">
        <f>20.65116</f>
        <v>20.651160000000001</v>
      </c>
      <c r="J92" s="267"/>
    </row>
    <row r="93" spans="1:10" ht="18" customHeight="1" x14ac:dyDescent="0.35">
      <c r="A93" s="1"/>
      <c r="B93" s="277"/>
      <c r="C93" s="89" t="s">
        <v>55</v>
      </c>
      <c r="D93" s="140"/>
      <c r="E93" s="136"/>
      <c r="F93" s="136">
        <f>0</f>
        <v>0</v>
      </c>
      <c r="G93" s="136">
        <f>11.8759</f>
        <v>11.8759</v>
      </c>
      <c r="H93" s="136">
        <f t="shared" ref="H93" si="10">E93-G93</f>
        <v>-11.8759</v>
      </c>
      <c r="I93" s="136">
        <f>16.07232</f>
        <v>16.072320000000001</v>
      </c>
      <c r="J93" s="267"/>
    </row>
    <row r="94" spans="1:10" ht="16.5" customHeight="1" x14ac:dyDescent="0.35">
      <c r="A94" s="1"/>
      <c r="B94" s="277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652.42054000000007</v>
      </c>
      <c r="G94" s="73">
        <f t="shared" si="12"/>
        <v>46108.036399999997</v>
      </c>
      <c r="H94" s="73">
        <f t="shared" si="12"/>
        <v>24830.963600000003</v>
      </c>
      <c r="I94" s="73">
        <f t="shared" si="12"/>
        <v>56183.07026</v>
      </c>
      <c r="J94" s="267"/>
    </row>
    <row r="95" spans="1:10" ht="13.5" customHeight="1" x14ac:dyDescent="0.35">
      <c r="A95" s="1"/>
      <c r="B95" s="277"/>
      <c r="C95" s="74" t="s">
        <v>125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158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157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56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51"/>
      <c r="E100" s="251"/>
      <c r="F100" s="251"/>
      <c r="G100" s="251"/>
      <c r="H100" s="251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23"/>
      <c r="B102" s="223"/>
      <c r="C102" s="233" t="s">
        <v>57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126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61</v>
      </c>
      <c r="F114" s="14" t="s">
        <v>161</v>
      </c>
      <c r="G114" s="14" t="s">
        <v>162</v>
      </c>
      <c r="H114" s="14" t="s">
        <v>163</v>
      </c>
      <c r="I114" s="14" t="s">
        <v>164</v>
      </c>
      <c r="J114" s="301"/>
    </row>
    <row r="115" spans="1:10" ht="14.15" customHeight="1" x14ac:dyDescent="0.35">
      <c r="A115" s="1"/>
      <c r="B115" s="277"/>
      <c r="C115" s="15" t="s">
        <v>62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61.111800000000002</v>
      </c>
      <c r="G115" s="10">
        <f t="shared" si="13"/>
        <v>31469.813609999997</v>
      </c>
      <c r="H115" s="10">
        <f t="shared" si="13"/>
        <v>39545.186389999995</v>
      </c>
      <c r="I115" s="10">
        <f t="shared" si="13"/>
        <v>39624.531279999996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56450</v>
      </c>
      <c r="F116" s="22">
        <f>54.42525</f>
        <v>54.425249999999998</v>
      </c>
      <c r="G116" s="22">
        <f>28014.86912</f>
        <v>28014.869119999999</v>
      </c>
      <c r="H116" s="22">
        <f>E116-G116</f>
        <v>28435.130880000001</v>
      </c>
      <c r="I116" s="22">
        <f>35195.09098</f>
        <v>35195.090980000001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14065</v>
      </c>
      <c r="F117" s="22">
        <f>6.68655</f>
        <v>6.6865500000000004</v>
      </c>
      <c r="G117" s="22">
        <f>3389.58689</f>
        <v>3389.58689</v>
      </c>
      <c r="H117" s="22">
        <f>E117-G117</f>
        <v>10675.41311</v>
      </c>
      <c r="I117" s="22">
        <f>4363.99015</f>
        <v>4363.9901499999996</v>
      </c>
      <c r="J117" s="267"/>
    </row>
    <row r="118" spans="1:10" ht="13.5" customHeight="1" x14ac:dyDescent="0.35">
      <c r="A118" s="1"/>
      <c r="B118" s="277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51430</v>
      </c>
      <c r="F119" s="92">
        <f>2046.277</f>
        <v>2046.277</v>
      </c>
      <c r="G119" s="92">
        <f>23550.2238+1188</f>
        <v>24738.2238</v>
      </c>
      <c r="H119" s="92">
        <f>E119-G119</f>
        <v>26691.7762</v>
      </c>
      <c r="I119" s="92">
        <f>8873.5718</f>
        <v>8873.5717999999997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557.19680000000005</v>
      </c>
      <c r="G120" s="91">
        <f t="shared" ref="G120" si="14">G121+G126+G129</f>
        <v>39122.993289999999</v>
      </c>
      <c r="H120" s="91">
        <f>H121+H126+H129</f>
        <v>35922.006710000001</v>
      </c>
      <c r="I120" s="91">
        <f>I121+I126+I129</f>
        <v>50667.055590000004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56359</v>
      </c>
      <c r="F121" s="121">
        <f>F122+F123+F124+F125</f>
        <v>425.67855000000003</v>
      </c>
      <c r="G121" s="121">
        <f>G122+G123+G125+G124</f>
        <v>29565.163549999997</v>
      </c>
      <c r="H121" s="121">
        <f>H122+H123+H124+H125</f>
        <v>26793.836450000003</v>
      </c>
      <c r="I121" s="121">
        <f>I122+I123+I124+I125</f>
        <v>37925.562310000001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16016</v>
      </c>
      <c r="F122" s="123">
        <f>124.97177</f>
        <v>124.97177000000001</v>
      </c>
      <c r="G122" s="123">
        <f>6396.30141</f>
        <v>6396.30141</v>
      </c>
      <c r="H122" s="123">
        <f>E122-G122</f>
        <v>9619.69859</v>
      </c>
      <c r="I122" s="123">
        <f>7010.35318</f>
        <v>7010.3531800000001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14854</v>
      </c>
      <c r="F123" s="123">
        <f>110.07258</f>
        <v>110.07258</v>
      </c>
      <c r="G123" s="123">
        <f>8132.73432+5</f>
        <v>8137.7343199999996</v>
      </c>
      <c r="H123" s="123">
        <f>E123-G123</f>
        <v>6716.2656800000004</v>
      </c>
      <c r="I123" s="123">
        <f>10684.14425</f>
        <v>10684.144249999999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12872</v>
      </c>
      <c r="F124" s="123">
        <f>95.20805</f>
        <v>95.20805</v>
      </c>
      <c r="G124" s="123">
        <f>6640.11366</f>
        <v>6640.11366</v>
      </c>
      <c r="H124" s="123">
        <f>E124-G124</f>
        <v>6231.88634</v>
      </c>
      <c r="I124" s="123">
        <f>10278.7185</f>
        <v>10278.718500000001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12617</v>
      </c>
      <c r="F125" s="123">
        <f>95.42615</f>
        <v>95.426150000000007</v>
      </c>
      <c r="G125" s="123">
        <f>7208.01416+1183</f>
        <v>8391.0141599999988</v>
      </c>
      <c r="H125" s="123">
        <f>E125-G125</f>
        <v>4225.9858400000012</v>
      </c>
      <c r="I125" s="123">
        <f>9952.34638</f>
        <v>9952.3463800000009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7742</v>
      </c>
      <c r="F126" s="129">
        <f>SUM(F127:F128)</f>
        <v>0.40620000000000001</v>
      </c>
      <c r="G126" s="129">
        <f>SUM(G127:G128)</f>
        <v>5875.9964200000004</v>
      </c>
      <c r="H126" s="129">
        <f>H127+H128</f>
        <v>1866.0035799999998</v>
      </c>
      <c r="I126" s="129">
        <f>SUM(I127:I128)</f>
        <v>8834.4613200000003</v>
      </c>
      <c r="J126" s="130"/>
    </row>
    <row r="127" spans="1:10" ht="14.15" customHeight="1" x14ac:dyDescent="0.35">
      <c r="A127" s="1"/>
      <c r="B127" s="277"/>
      <c r="C127" s="60" t="s">
        <v>66</v>
      </c>
      <c r="D127" s="61">
        <v>6819</v>
      </c>
      <c r="E127" s="61">
        <v>7242</v>
      </c>
      <c r="F127" s="123">
        <f>0</f>
        <v>0</v>
      </c>
      <c r="G127" s="123">
        <f>5730.88446</f>
        <v>5730.8844600000002</v>
      </c>
      <c r="H127" s="123">
        <f t="shared" ref="H127:H135" si="15">E127-G127</f>
        <v>1511.1155399999998</v>
      </c>
      <c r="I127" s="123">
        <f>8445.61986</f>
        <v>8445.6198600000007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0.4062</f>
        <v>0.40620000000000001</v>
      </c>
      <c r="G128" s="123">
        <f>145.11196</f>
        <v>145.11196000000001</v>
      </c>
      <c r="H128" s="123">
        <f t="shared" si="15"/>
        <v>354.88803999999999</v>
      </c>
      <c r="I128" s="123">
        <f>388.84146</f>
        <v>388.84145999999998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10944</v>
      </c>
      <c r="F129" s="72">
        <f>131.11205</f>
        <v>131.11205000000001</v>
      </c>
      <c r="G129" s="72">
        <f>3681.83332</f>
        <v>3681.8333200000002</v>
      </c>
      <c r="H129" s="72">
        <f t="shared" si="15"/>
        <v>7262.1666800000003</v>
      </c>
      <c r="I129" s="72">
        <f>3907.03196</f>
        <v>3907.0319599999998</v>
      </c>
      <c r="J129" s="117"/>
    </row>
    <row r="130" spans="1:10" ht="15.75" customHeight="1" x14ac:dyDescent="0.35">
      <c r="A130" s="1"/>
      <c r="B130" s="277"/>
      <c r="C130" s="139" t="s">
        <v>34</v>
      </c>
      <c r="D130" s="140">
        <v>146</v>
      </c>
      <c r="E130" s="140">
        <v>146</v>
      </c>
      <c r="F130" s="136">
        <f>0</f>
        <v>0</v>
      </c>
      <c r="G130" s="136">
        <f>16.4505</f>
        <v>16.450500000000002</v>
      </c>
      <c r="H130" s="136">
        <f t="shared" si="15"/>
        <v>129.54949999999999</v>
      </c>
      <c r="I130" s="136">
        <f>15.71255</f>
        <v>15.71255</v>
      </c>
      <c r="J130" s="117"/>
    </row>
    <row r="131" spans="1:10" ht="15.75" customHeight="1" x14ac:dyDescent="0.35">
      <c r="A131" s="1"/>
      <c r="B131" s="277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256.036</f>
        <v>256.036</v>
      </c>
      <c r="J131" s="117"/>
    </row>
    <row r="132" spans="1:10" ht="18" customHeight="1" x14ac:dyDescent="0.35">
      <c r="A132" s="1"/>
      <c r="B132" s="277"/>
      <c r="C132" s="137" t="s">
        <v>69</v>
      </c>
      <c r="D132" s="140">
        <v>2000</v>
      </c>
      <c r="E132" s="140">
        <v>2000</v>
      </c>
      <c r="F132" s="136">
        <f>23.40371</f>
        <v>23.40371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70</v>
      </c>
      <c r="D134" s="140">
        <v>313</v>
      </c>
      <c r="E134" s="140">
        <v>313</v>
      </c>
      <c r="F134" s="95">
        <f>2.2628</f>
        <v>2.2627999999999999</v>
      </c>
      <c r="G134" s="95">
        <f>84.18295</f>
        <v>84.182950000000005</v>
      </c>
      <c r="H134" s="136">
        <f t="shared" si="15"/>
        <v>228.81704999999999</v>
      </c>
      <c r="I134" s="95">
        <f>40.17573</f>
        <v>40.175730000000001</v>
      </c>
      <c r="J134" s="117"/>
    </row>
    <row r="135" spans="1:10" ht="15" customHeight="1" x14ac:dyDescent="0.35">
      <c r="A135" s="1"/>
      <c r="B135" s="277"/>
      <c r="C135" s="139" t="s">
        <v>39</v>
      </c>
      <c r="D135" s="142"/>
      <c r="E135" s="140"/>
      <c r="F135" s="136">
        <f>0.289</f>
        <v>0.28899999999999998</v>
      </c>
      <c r="G135" s="136">
        <f>76.77431</f>
        <v>76.77431</v>
      </c>
      <c r="H135" s="136">
        <f t="shared" si="15"/>
        <v>-76.77431</v>
      </c>
      <c r="I135" s="136">
        <f>111.97609</f>
        <v>111.97609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2690.5411100000006</v>
      </c>
      <c r="G137" s="73">
        <f>G115+G119+G120+G130+G131+G132+G133+G134+G135</f>
        <v>97508.438460000005</v>
      </c>
      <c r="H137" s="73">
        <f>H115+H119+H120+H130+H131+H132+H133+H134+H135</f>
        <v>102790.56154</v>
      </c>
      <c r="I137" s="73">
        <f>I115+I119+I120+I130+I131+I132+I133+I134+I135</f>
        <v>101589.05903999999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127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159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130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136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33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73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49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161</v>
      </c>
      <c r="F159" s="14" t="s">
        <v>162</v>
      </c>
      <c r="G159" s="52" t="s">
        <v>163</v>
      </c>
      <c r="H159" s="14" t="s">
        <v>164</v>
      </c>
      <c r="I159" s="152"/>
      <c r="J159" s="301"/>
    </row>
    <row r="160" spans="1:10" ht="14.15" customHeight="1" x14ac:dyDescent="0.35">
      <c r="A160" s="1"/>
      <c r="B160" s="277"/>
      <c r="C160" s="138" t="s">
        <v>74</v>
      </c>
      <c r="D160" s="91">
        <v>3762</v>
      </c>
      <c r="E160" s="297">
        <f>23.24107</f>
        <v>23.241070000000001</v>
      </c>
      <c r="F160" s="297">
        <f>779.69574</f>
        <v>779.69574</v>
      </c>
      <c r="G160" s="42">
        <f>D160-F160-F161</f>
        <v>1779.5036399999999</v>
      </c>
      <c r="H160" s="297">
        <f>678.30705</f>
        <v>678.30705</v>
      </c>
      <c r="I160" s="1"/>
      <c r="J160" s="117"/>
    </row>
    <row r="161" spans="1:10" ht="14.15" customHeight="1" x14ac:dyDescent="0.35">
      <c r="A161" s="1"/>
      <c r="B161" s="277"/>
      <c r="C161" s="133" t="s">
        <v>53</v>
      </c>
      <c r="D161" s="175"/>
      <c r="E161" s="148">
        <f>0</f>
        <v>0</v>
      </c>
      <c r="F161" s="148">
        <f>1202.80062</f>
        <v>1202.80062</v>
      </c>
      <c r="G161" s="219"/>
      <c r="H161" s="148">
        <f>1205.11624</f>
        <v>1205.1162400000001</v>
      </c>
      <c r="I161" s="1"/>
      <c r="J161" s="117"/>
    </row>
    <row r="162" spans="1:10" ht="15.65" customHeight="1" x14ac:dyDescent="0.35">
      <c r="A162" s="1"/>
      <c r="B162" s="277"/>
      <c r="C162" s="163" t="s">
        <v>75</v>
      </c>
      <c r="D162" s="95">
        <v>200</v>
      </c>
      <c r="E162" s="166">
        <f>11.03872</f>
        <v>11.03872</v>
      </c>
      <c r="F162" s="166">
        <f>76.67206</f>
        <v>76.672060000000002</v>
      </c>
      <c r="G162" s="166">
        <f>D162-F162</f>
        <v>123.32794</v>
      </c>
      <c r="H162" s="166">
        <f>82.16938</f>
        <v>82.169380000000004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50.687099999999994</v>
      </c>
      <c r="F163" s="175">
        <f>F164+F165+F166</f>
        <v>4704.20118</v>
      </c>
      <c r="G163" s="175">
        <f>D163-F163</f>
        <v>937.79881999999998</v>
      </c>
      <c r="H163" s="175">
        <f>H164+H165+H166</f>
        <v>3841.6491000000001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26.86978</f>
        <v>26.869779999999999</v>
      </c>
      <c r="F164" s="123">
        <f>2719.07263</f>
        <v>2719.0726300000001</v>
      </c>
      <c r="G164" s="123"/>
      <c r="H164" s="123">
        <f>1847.54814</f>
        <v>1847.5481400000001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14.42368</f>
        <v>14.423679999999999</v>
      </c>
      <c r="F165" s="123">
        <f>1345.99563</f>
        <v>1345.9956299999999</v>
      </c>
      <c r="G165" s="123"/>
      <c r="H165" s="123">
        <f>1207.92462</f>
        <v>1207.92462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9.39364</f>
        <v>9.3936399999999995</v>
      </c>
      <c r="F166" s="186">
        <f>639.13292</f>
        <v>639.13292000000001</v>
      </c>
      <c r="G166" s="186"/>
      <c r="H166" s="186">
        <f>786.17634</f>
        <v>786.17633999999998</v>
      </c>
      <c r="I166" s="181"/>
      <c r="J166" s="182"/>
    </row>
    <row r="167" spans="1:10" ht="14.15" customHeight="1" x14ac:dyDescent="0.35">
      <c r="A167" s="1"/>
      <c r="B167" s="277"/>
      <c r="C167" s="70" t="s">
        <v>80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84.966889999999992</v>
      </c>
      <c r="F169" s="188">
        <f>F160+F161+F162+F163+F167+F168</f>
        <v>6768.7227000000003</v>
      </c>
      <c r="G169" s="188">
        <f>D169-F169</f>
        <v>2906.2772999999997</v>
      </c>
      <c r="H169" s="188">
        <f>H160+H161+H162+H163+H167+H168</f>
        <v>5807.2417700000005</v>
      </c>
      <c r="I169" s="159"/>
      <c r="J169" s="155"/>
    </row>
    <row r="170" spans="1:10" ht="42" customHeight="1" x14ac:dyDescent="0.35">
      <c r="A170" s="1"/>
      <c r="B170" s="193"/>
      <c r="C170" s="250" t="s">
        <v>131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83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132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133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134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139</v>
      </c>
      <c r="F188" s="68" t="s">
        <v>161</v>
      </c>
      <c r="G188" s="68" t="s">
        <v>162</v>
      </c>
      <c r="H188" s="68" t="s">
        <v>163</v>
      </c>
      <c r="I188" s="68" t="s">
        <v>164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215.32618</f>
        <v>215.32617999999999</v>
      </c>
      <c r="G189" s="124">
        <f>41321.26129</f>
        <v>41321.261290000002</v>
      </c>
      <c r="H189" s="124">
        <f>D189-G189</f>
        <v>2820.7387099999978</v>
      </c>
      <c r="I189" s="124">
        <f>35650.78256</f>
        <v>35650.78256</v>
      </c>
      <c r="J189" s="117"/>
    </row>
    <row r="190" spans="1:10" ht="15" customHeight="1" x14ac:dyDescent="0.35">
      <c r="A190" s="1"/>
      <c r="B190" s="277"/>
      <c r="C190" s="90" t="s">
        <v>67</v>
      </c>
      <c r="D190" s="124">
        <v>100</v>
      </c>
      <c r="E190" s="124">
        <v>100</v>
      </c>
      <c r="F190" s="124">
        <f>0.5895</f>
        <v>0.58950000000000002</v>
      </c>
      <c r="G190" s="124">
        <f>29.92974</f>
        <v>29.929739999999999</v>
      </c>
      <c r="H190" s="124">
        <f>D190-G190</f>
        <v>70.070260000000005</v>
      </c>
      <c r="I190" s="124">
        <f>25.42928</f>
        <v>25.429279999999999</v>
      </c>
      <c r="J190" s="117"/>
    </row>
    <row r="191" spans="1:10" ht="15.75" customHeight="1" x14ac:dyDescent="0.35">
      <c r="A191" s="1"/>
      <c r="B191" s="277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215.91567999999998</v>
      </c>
      <c r="G192" s="190">
        <f>SUM(G189:G191)</f>
        <v>41351.191030000002</v>
      </c>
      <c r="H192" s="190">
        <f>D192-G192</f>
        <v>2926.8089699999982</v>
      </c>
      <c r="I192" s="190">
        <f>SUM(I189:I191)</f>
        <v>35676.211839999996</v>
      </c>
      <c r="J192" s="117"/>
    </row>
    <row r="193" spans="1:10" ht="12" customHeight="1" x14ac:dyDescent="0.35">
      <c r="A193" s="1"/>
      <c r="B193" s="277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140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161</v>
      </c>
      <c r="F201" s="68" t="s">
        <v>162</v>
      </c>
      <c r="G201" s="68" t="s">
        <v>163</v>
      </c>
      <c r="H201" s="68" t="s">
        <v>164</v>
      </c>
      <c r="I201" s="1"/>
      <c r="J201" s="117"/>
    </row>
    <row r="202" spans="1:10" ht="15" customHeight="1" x14ac:dyDescent="0.35">
      <c r="A202" s="1"/>
      <c r="B202" s="277"/>
      <c r="C202" s="90" t="s">
        <v>116</v>
      </c>
      <c r="D202" s="124">
        <v>3987</v>
      </c>
      <c r="E202" s="72">
        <f>E203+E204</f>
        <v>10.562900000000001</v>
      </c>
      <c r="F202" s="72">
        <f>F203+F204</f>
        <v>2845.43552</v>
      </c>
      <c r="G202" s="72">
        <f>D202-F202</f>
        <v>1141.56448</v>
      </c>
      <c r="H202" s="72">
        <f>H203+H204</f>
        <v>3152.8245499999998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1.5876</f>
        <v>1.5875999999999999</v>
      </c>
      <c r="F203" s="72">
        <f>2297.04531</f>
        <v>2297.04531</v>
      </c>
      <c r="G203" s="72"/>
      <c r="H203" s="72">
        <f>2668.15076</f>
        <v>2668.15076</v>
      </c>
      <c r="I203" s="271"/>
      <c r="J203" s="117"/>
    </row>
    <row r="204" spans="1:10" ht="15" customHeight="1" x14ac:dyDescent="0.35">
      <c r="A204" s="1"/>
      <c r="B204" s="277"/>
      <c r="C204" s="172" t="s">
        <v>67</v>
      </c>
      <c r="D204" s="124"/>
      <c r="E204" s="124">
        <f>8.9753</f>
        <v>8.9753000000000007</v>
      </c>
      <c r="F204" s="124">
        <f>548.39021</f>
        <v>548.39021000000002</v>
      </c>
      <c r="G204" s="168"/>
      <c r="H204" s="124">
        <f>484.67379</f>
        <v>484.67379</v>
      </c>
      <c r="I204" s="271"/>
      <c r="J204" s="117"/>
    </row>
    <row r="205" spans="1:10" ht="15" customHeight="1" x14ac:dyDescent="0.35">
      <c r="A205" s="1"/>
      <c r="B205" s="277"/>
      <c r="C205" s="90" t="s">
        <v>117</v>
      </c>
      <c r="D205" s="124">
        <v>4613</v>
      </c>
      <c r="E205" s="72">
        <f>8.76966</f>
        <v>8.76966</v>
      </c>
      <c r="F205" s="72">
        <f>4048.78942</f>
        <v>4048.7894200000001</v>
      </c>
      <c r="G205" s="72">
        <f>D205-F205</f>
        <v>564.21057999999994</v>
      </c>
      <c r="H205" s="72">
        <f>4736.32201</f>
        <v>4736.3220099999999</v>
      </c>
      <c r="I205" s="271"/>
      <c r="J205" s="117"/>
    </row>
    <row r="206" spans="1:10" ht="16.5" customHeight="1" x14ac:dyDescent="0.35">
      <c r="A206" s="1"/>
      <c r="B206" s="277"/>
      <c r="C206" s="179" t="s">
        <v>86</v>
      </c>
      <c r="D206" s="190">
        <f>D205+D202</f>
        <v>8600</v>
      </c>
      <c r="E206" s="190">
        <f>SUM(E202,E205)</f>
        <v>19.332560000000001</v>
      </c>
      <c r="F206" s="190">
        <f>SUM(F202,F205)</f>
        <v>6894.2249400000001</v>
      </c>
      <c r="G206" s="190">
        <f>D206-F206</f>
        <v>1705.7750599999999</v>
      </c>
      <c r="H206" s="190">
        <f>SUM(H202,H205)</f>
        <v>7889.1465599999992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114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112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161</v>
      </c>
      <c r="F214" s="68" t="s">
        <v>162</v>
      </c>
      <c r="G214" s="68" t="s">
        <v>163</v>
      </c>
      <c r="H214" s="68" t="s">
        <v>164</v>
      </c>
      <c r="I214" s="1"/>
      <c r="J214" s="117"/>
    </row>
    <row r="215" spans="1:10" ht="15" customHeight="1" x14ac:dyDescent="0.35">
      <c r="A215" s="1"/>
      <c r="B215" s="277"/>
      <c r="C215" s="90" t="s">
        <v>116</v>
      </c>
      <c r="D215" s="124">
        <v>5090</v>
      </c>
      <c r="E215" s="72">
        <f>E216+E217</f>
        <v>1.68492</v>
      </c>
      <c r="F215" s="72">
        <f>F216+F217</f>
        <v>3545.62167</v>
      </c>
      <c r="G215" s="72">
        <f>D215-F215</f>
        <v>1544.37833</v>
      </c>
      <c r="H215" s="72">
        <f>H216+H217</f>
        <v>3657.4752700000004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0.2574</f>
        <v>0.25740000000000002</v>
      </c>
      <c r="F216" s="72">
        <f>3256.42433</f>
        <v>3256.4243299999998</v>
      </c>
      <c r="G216" s="72"/>
      <c r="H216" s="72">
        <f>3237.92156</f>
        <v>3237.9215600000002</v>
      </c>
      <c r="I216" s="271"/>
      <c r="J216" s="117"/>
    </row>
    <row r="217" spans="1:10" ht="15" customHeight="1" x14ac:dyDescent="0.35">
      <c r="A217" s="1"/>
      <c r="B217" s="277"/>
      <c r="C217" s="172" t="s">
        <v>67</v>
      </c>
      <c r="D217" s="124"/>
      <c r="E217" s="124">
        <f>1.42752</f>
        <v>1.4275199999999999</v>
      </c>
      <c r="F217" s="124">
        <f>289.19734</f>
        <v>289.19734</v>
      </c>
      <c r="G217" s="168"/>
      <c r="H217" s="124">
        <f>419.55371</f>
        <v>419.55371000000002</v>
      </c>
      <c r="I217" s="271"/>
      <c r="J217" s="117"/>
    </row>
    <row r="218" spans="1:10" ht="15" customHeight="1" x14ac:dyDescent="0.35">
      <c r="A218" s="1"/>
      <c r="B218" s="277"/>
      <c r="C218" s="90" t="s">
        <v>117</v>
      </c>
      <c r="D218" s="124">
        <v>2981</v>
      </c>
      <c r="E218" s="72">
        <f>23.40576</f>
        <v>23.405760000000001</v>
      </c>
      <c r="F218" s="72">
        <f>1658.31991</f>
        <v>1658.3199099999999</v>
      </c>
      <c r="G218" s="72">
        <f>D218-F218</f>
        <v>1322.6800900000001</v>
      </c>
      <c r="H218" s="72">
        <f>2049.02795</f>
        <v>2049.0279500000001</v>
      </c>
      <c r="I218" s="271"/>
      <c r="J218" s="117"/>
    </row>
    <row r="219" spans="1:10" ht="16.5" customHeight="1" x14ac:dyDescent="0.35">
      <c r="A219" s="1"/>
      <c r="B219" s="277"/>
      <c r="C219" s="179" t="s">
        <v>86</v>
      </c>
      <c r="D219" s="190">
        <f>D218+D215</f>
        <v>8071</v>
      </c>
      <c r="E219" s="190">
        <f>SUM(E215,E218)</f>
        <v>25.090679999999999</v>
      </c>
      <c r="F219" s="190">
        <f>SUM(F215,F218)</f>
        <v>5203.9415799999997</v>
      </c>
      <c r="G219" s="190">
        <f>D219-F219</f>
        <v>2867.0584200000003</v>
      </c>
      <c r="H219" s="190">
        <f>SUM(H215,H218)</f>
        <v>5706.5032200000005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88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112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83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89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90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118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91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101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161</v>
      </c>
      <c r="F236" s="68" t="s">
        <v>162</v>
      </c>
      <c r="G236" s="68" t="s">
        <v>163</v>
      </c>
      <c r="H236" s="68" t="s">
        <v>164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1.39721</f>
        <v>1.3972100000000001</v>
      </c>
      <c r="F237" s="124">
        <f>258.91903</f>
        <v>258.91903000000002</v>
      </c>
      <c r="G237" s="124">
        <f>D237-F237</f>
        <v>541.08096999999998</v>
      </c>
      <c r="H237" s="124">
        <f>367.46913</f>
        <v>367.46913000000001</v>
      </c>
      <c r="I237" s="65"/>
      <c r="J237" s="267"/>
    </row>
    <row r="238" spans="1:10" ht="14.15" customHeight="1" x14ac:dyDescent="0.35">
      <c r="A238" s="1"/>
      <c r="B238" s="277"/>
      <c r="C238" s="90" t="s">
        <v>93</v>
      </c>
      <c r="D238" s="269">
        <v>2193</v>
      </c>
      <c r="E238" s="124">
        <f>28.52173</f>
        <v>28.521730000000002</v>
      </c>
      <c r="F238" s="124">
        <f>532.34764</f>
        <v>532.34763999999996</v>
      </c>
      <c r="G238" s="124">
        <f>D238-F238</f>
        <v>1660.65236</v>
      </c>
      <c r="H238" s="124">
        <f>1021.03308</f>
        <v>1021.03308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69">
        <v>10</v>
      </c>
      <c r="E239" s="168">
        <f>0</f>
        <v>0</v>
      </c>
      <c r="F239" s="168">
        <f>0.82114</f>
        <v>0.82113999999999998</v>
      </c>
      <c r="G239" s="124">
        <f>D239-F239</f>
        <v>9.1788600000000002</v>
      </c>
      <c r="H239" s="168">
        <f>3.60962</f>
        <v>3.6096200000000001</v>
      </c>
      <c r="I239" s="65"/>
      <c r="J239" s="272"/>
    </row>
    <row r="240" spans="1:10" ht="18.75" customHeight="1" x14ac:dyDescent="0.35">
      <c r="A240" s="65"/>
      <c r="B240" s="273"/>
      <c r="C240" s="146" t="s">
        <v>94</v>
      </c>
      <c r="D240" s="245"/>
      <c r="E240" s="168">
        <f>0</f>
        <v>0</v>
      </c>
      <c r="F240" s="168">
        <f>2.37828</f>
        <v>2.3782800000000002</v>
      </c>
      <c r="G240" s="124">
        <f>D240-F240</f>
        <v>-2.3782800000000002</v>
      </c>
      <c r="H240" s="168">
        <f>0.091</f>
        <v>9.0999999999999998E-2</v>
      </c>
      <c r="I240" s="305"/>
      <c r="J240" s="117"/>
    </row>
    <row r="241" spans="1:10" ht="14.15" customHeight="1" x14ac:dyDescent="0.35">
      <c r="A241" s="1"/>
      <c r="B241" s="277"/>
      <c r="C241" s="179" t="s">
        <v>86</v>
      </c>
      <c r="D241" s="5">
        <f>D226</f>
        <v>3003</v>
      </c>
      <c r="E241" s="190">
        <f>SUM(E237:E240)</f>
        <v>29.918940000000003</v>
      </c>
      <c r="F241" s="190">
        <f>SUM(F237:F240)</f>
        <v>794.46609000000001</v>
      </c>
      <c r="G241" s="190">
        <f>D241-F241</f>
        <v>2208.5339100000001</v>
      </c>
      <c r="H241" s="190">
        <f>H237+H238+H239+H240</f>
        <v>1392.2028299999999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23"/>
      <c r="B246" s="1"/>
      <c r="C246" s="213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81" t="s">
        <v>83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90</v>
      </c>
      <c r="D251" s="46">
        <f>25446+880-1500</f>
        <v>24826</v>
      </c>
      <c r="E251" s="173" t="s">
        <v>93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89</v>
      </c>
      <c r="D252" s="46">
        <v>8940</v>
      </c>
      <c r="E252" s="173" t="s">
        <v>59</v>
      </c>
      <c r="F252" s="45">
        <v>5500</v>
      </c>
      <c r="G252" s="271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128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135</v>
      </c>
      <c r="F261" s="246" t="s">
        <v>161</v>
      </c>
      <c r="G261" s="246" t="s">
        <v>162</v>
      </c>
      <c r="H261" s="246" t="s">
        <v>163</v>
      </c>
      <c r="I261" s="246" t="s">
        <v>164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37.11889</v>
      </c>
      <c r="G262" s="276">
        <f t="shared" si="17"/>
        <v>5792.9872500000001</v>
      </c>
      <c r="H262" s="276">
        <f>H266+H265+H264+H263</f>
        <v>21943.012750000002</v>
      </c>
      <c r="I262" s="276">
        <f t="shared" si="17"/>
        <v>7882.4882300000008</v>
      </c>
      <c r="J262" s="127"/>
    </row>
    <row r="263" spans="1:10" ht="14.15" customHeight="1" x14ac:dyDescent="0.35">
      <c r="A263" s="223"/>
      <c r="B263" s="69"/>
      <c r="C263" s="278" t="s">
        <v>102</v>
      </c>
      <c r="D263" s="279">
        <v>14132</v>
      </c>
      <c r="E263" s="279">
        <v>16670</v>
      </c>
      <c r="F263" s="280">
        <f>0</f>
        <v>0</v>
      </c>
      <c r="G263" s="280">
        <f>1581.64711</f>
        <v>1581.6471100000001</v>
      </c>
      <c r="H263" s="280">
        <f t="shared" ref="H263:H267" si="18">E263-G263</f>
        <v>15088.35289</v>
      </c>
      <c r="I263" s="280">
        <f>4577.59136</f>
        <v>4577.5913600000003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701.78751</f>
        <v>701.78751</v>
      </c>
      <c r="H264" s="280">
        <f t="shared" si="18"/>
        <v>3637.2124899999999</v>
      </c>
      <c r="I264" s="280">
        <f>912.4407</f>
        <v>912.44069999999999</v>
      </c>
      <c r="J264" s="127"/>
    </row>
    <row r="265" spans="1:10" ht="14.15" customHeight="1" x14ac:dyDescent="0.35">
      <c r="A265" s="223"/>
      <c r="B265" s="69"/>
      <c r="C265" s="282" t="s">
        <v>99</v>
      </c>
      <c r="D265" s="279">
        <v>1506</v>
      </c>
      <c r="E265" s="279">
        <v>1571</v>
      </c>
      <c r="F265" s="280">
        <f>5.85209</f>
        <v>5.8520899999999996</v>
      </c>
      <c r="G265" s="280">
        <f>1109.86644</f>
        <v>1109.86644</v>
      </c>
      <c r="H265" s="280">
        <f t="shared" si="18"/>
        <v>461.13355999999999</v>
      </c>
      <c r="I265" s="280">
        <f>1245.41771</f>
        <v>1245.4177099999999</v>
      </c>
      <c r="J265" s="127"/>
    </row>
    <row r="266" spans="1:10" ht="14.15" customHeight="1" x14ac:dyDescent="0.35">
      <c r="A266" s="223"/>
      <c r="B266" s="69"/>
      <c r="C266" s="284" t="s">
        <v>122</v>
      </c>
      <c r="D266" s="285">
        <v>5043</v>
      </c>
      <c r="E266" s="285">
        <v>5156</v>
      </c>
      <c r="F266" s="280">
        <f>31.2668</f>
        <v>31.2668</v>
      </c>
      <c r="G266" s="280">
        <f>2399.68619</f>
        <v>2399.6861899999999</v>
      </c>
      <c r="H266" s="280">
        <f t="shared" si="18"/>
        <v>2756.3138100000001</v>
      </c>
      <c r="I266" s="280">
        <f>1147.03846</f>
        <v>1147.03846</v>
      </c>
      <c r="J266" s="127"/>
    </row>
    <row r="267" spans="1:10" ht="14.15" customHeight="1" x14ac:dyDescent="0.35">
      <c r="A267" s="223"/>
      <c r="B267" s="69"/>
      <c r="C267" s="287" t="s">
        <v>59</v>
      </c>
      <c r="D267" s="288">
        <v>5500</v>
      </c>
      <c r="E267" s="288">
        <v>5500</v>
      </c>
      <c r="F267" s="290">
        <f>0</f>
        <v>0</v>
      </c>
      <c r="G267" s="290">
        <f>4094.97424</f>
        <v>4094.97424</v>
      </c>
      <c r="H267" s="290">
        <f t="shared" si="18"/>
        <v>1405.02576</v>
      </c>
      <c r="I267" s="290">
        <f>2083.73278</f>
        <v>2083.7327799999998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23.365559999999999</v>
      </c>
      <c r="G268" s="291">
        <f>G270+G269</f>
        <v>1413.2623800000001</v>
      </c>
      <c r="H268" s="291">
        <f>E268-G268</f>
        <v>6586.7376199999999</v>
      </c>
      <c r="I268" s="291">
        <f>I270+I269</f>
        <v>1721.2651000000001</v>
      </c>
      <c r="J268" s="127"/>
    </row>
    <row r="269" spans="1:10" ht="14.15" customHeight="1" x14ac:dyDescent="0.35">
      <c r="A269" s="223"/>
      <c r="B269" s="69"/>
      <c r="C269" s="282" t="s">
        <v>53</v>
      </c>
      <c r="D269" s="293"/>
      <c r="E269" s="279"/>
      <c r="F269" s="280">
        <f>8.8197</f>
        <v>8.8196999999999992</v>
      </c>
      <c r="G269" s="280">
        <f>463.85946</f>
        <v>463.85946000000001</v>
      </c>
      <c r="H269" s="280"/>
      <c r="I269" s="280">
        <f>556.49062</f>
        <v>556.49062000000004</v>
      </c>
      <c r="J269" s="127"/>
    </row>
    <row r="270" spans="1:10" ht="14.15" customHeight="1" x14ac:dyDescent="0.35">
      <c r="A270" s="223"/>
      <c r="B270" s="69"/>
      <c r="C270" s="295" t="s">
        <v>103</v>
      </c>
      <c r="D270" s="296"/>
      <c r="E270" s="298"/>
      <c r="F270" s="299">
        <f>14.54586</f>
        <v>14.545859999999999</v>
      </c>
      <c r="G270" s="299">
        <f>949.40292</f>
        <v>949.40291999999999</v>
      </c>
      <c r="H270" s="299"/>
      <c r="I270" s="299">
        <f>1164.77448</f>
        <v>1164.77448</v>
      </c>
      <c r="J270" s="127"/>
    </row>
    <row r="271" spans="1:10" ht="14.15" customHeight="1" x14ac:dyDescent="0.35">
      <c r="A271" s="223"/>
      <c r="B271" s="69"/>
      <c r="C271" s="287" t="s">
        <v>34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5" customHeight="1" x14ac:dyDescent="0.35">
      <c r="A272" s="223"/>
      <c r="B272" s="69"/>
      <c r="C272" s="300" t="s">
        <v>104</v>
      </c>
      <c r="D272" s="303"/>
      <c r="E272" s="304"/>
      <c r="F272" s="290">
        <f>1.561</f>
        <v>1.5609999999999999</v>
      </c>
      <c r="G272" s="290">
        <f>111.90672</f>
        <v>111.90672000000001</v>
      </c>
      <c r="H272" s="290">
        <f>E272-G272</f>
        <v>-111.90672000000001</v>
      </c>
      <c r="I272" s="290">
        <f>54.41956</f>
        <v>54.419559999999997</v>
      </c>
      <c r="J272" s="127"/>
    </row>
    <row r="273" spans="1:10" ht="19.5" customHeight="1" x14ac:dyDescent="0.35">
      <c r="A273" s="223"/>
      <c r="B273" s="69"/>
      <c r="C273" s="306" t="s">
        <v>40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62.045449999999995</v>
      </c>
      <c r="G273" s="308">
        <f t="shared" si="19"/>
        <v>11413.69909</v>
      </c>
      <c r="H273" s="308">
        <f>H262+H267+H268+H271+H272</f>
        <v>29835.300910000002</v>
      </c>
      <c r="I273" s="308">
        <f t="shared" si="19"/>
        <v>11742.022070000003</v>
      </c>
      <c r="J273" s="127"/>
    </row>
    <row r="274" spans="1:10" ht="14.15" customHeight="1" x14ac:dyDescent="0.35">
      <c r="A274" s="223"/>
      <c r="B274" s="69"/>
      <c r="C274" s="156" t="s">
        <v>105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129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137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112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90</v>
      </c>
      <c r="D285" s="46">
        <v>1549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49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16" t="s">
        <v>120</v>
      </c>
      <c r="D288" s="316"/>
      <c r="E288" s="316"/>
      <c r="F288" s="316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107</v>
      </c>
      <c r="D293" s="21" t="s">
        <v>108</v>
      </c>
      <c r="E293" s="19" t="s">
        <v>161</v>
      </c>
      <c r="F293" s="19" t="s">
        <v>162</v>
      </c>
      <c r="G293" s="23" t="s">
        <v>163</v>
      </c>
      <c r="H293" s="19" t="s">
        <v>164</v>
      </c>
      <c r="I293" s="247"/>
      <c r="J293" s="13"/>
    </row>
    <row r="294" spans="1:10" ht="14.15" customHeight="1" x14ac:dyDescent="0.35">
      <c r="A294" s="223"/>
      <c r="B294" s="69"/>
      <c r="C294" s="287" t="s">
        <v>109</v>
      </c>
      <c r="D294" s="197">
        <v>779</v>
      </c>
      <c r="E294" s="25">
        <f>SUM(E295:E296)</f>
        <v>80.5762</v>
      </c>
      <c r="F294" s="25">
        <f>SUM(F295:F296)</f>
        <v>158.6859</v>
      </c>
      <c r="G294" s="82">
        <f>D294-F294</f>
        <v>620.31410000000005</v>
      </c>
      <c r="H294" s="25">
        <f>SUM(H295:H296)</f>
        <v>149.72820000000002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60.8247</f>
        <v>60.8247</v>
      </c>
      <c r="F295" s="198">
        <f>119.9951</f>
        <v>119.99509999999999</v>
      </c>
      <c r="G295" s="199"/>
      <c r="H295" s="198">
        <f>118.6175</f>
        <v>118.61750000000001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19.7515</f>
        <v>19.7515</v>
      </c>
      <c r="F296" s="202">
        <f>38.6908</f>
        <v>38.690800000000003</v>
      </c>
      <c r="G296" s="203"/>
      <c r="H296" s="202">
        <f>31.1107</f>
        <v>31.110700000000001</v>
      </c>
      <c r="I296" s="145"/>
      <c r="J296" s="127"/>
    </row>
    <row r="297" spans="1:10" ht="14.15" customHeight="1" x14ac:dyDescent="0.35">
      <c r="A297" s="223"/>
      <c r="B297" s="69"/>
      <c r="C297" s="287" t="s">
        <v>110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5" customHeight="1" x14ac:dyDescent="0.35">
      <c r="A300" s="223"/>
      <c r="B300" s="69"/>
      <c r="C300" s="287" t="s">
        <v>111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5" customHeight="1" x14ac:dyDescent="0.35">
      <c r="A303" s="223"/>
      <c r="B303" s="69"/>
      <c r="C303" s="300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86</v>
      </c>
      <c r="D304" s="38">
        <f>D294+D297+D300</f>
        <v>2338</v>
      </c>
      <c r="E304" s="39">
        <f>E294+E297+E300+E303</f>
        <v>80.5762</v>
      </c>
      <c r="F304" s="39">
        <f>F294+F297+F300+F303</f>
        <v>158.6859</v>
      </c>
      <c r="G304" s="40">
        <f>D304-F304</f>
        <v>2179.3141000000001</v>
      </c>
      <c r="H304" s="39">
        <f>H294+H297+H300+H303</f>
        <v>149.72820000000002</v>
      </c>
      <c r="I304" s="26"/>
      <c r="J304" s="127"/>
    </row>
    <row r="305" spans="1:10" ht="42" customHeight="1" x14ac:dyDescent="0.35">
      <c r="A305" s="223"/>
      <c r="B305" s="230"/>
      <c r="C305" s="318" t="s">
        <v>115</v>
      </c>
      <c r="D305" s="318"/>
      <c r="E305" s="318"/>
      <c r="F305" s="318"/>
      <c r="G305" s="318"/>
      <c r="H305" s="318"/>
      <c r="I305" s="318"/>
      <c r="J305" s="319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112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144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145</v>
      </c>
      <c r="E311" s="212" t="s">
        <v>146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90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147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49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16" t="s">
        <v>156</v>
      </c>
      <c r="D316" s="316"/>
      <c r="E316" s="316"/>
      <c r="F316" s="316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107</v>
      </c>
      <c r="D321" s="19" t="s">
        <v>1</v>
      </c>
      <c r="E321" s="19" t="s">
        <v>161</v>
      </c>
      <c r="F321" s="19" t="s">
        <v>162</v>
      </c>
      <c r="G321" s="19" t="s">
        <v>163</v>
      </c>
      <c r="H321" s="19" t="s">
        <v>164</v>
      </c>
      <c r="I321" s="247"/>
      <c r="J321" s="13"/>
    </row>
    <row r="322" spans="1:10" ht="18.75" customHeight="1" x14ac:dyDescent="0.35">
      <c r="A322" s="223"/>
      <c r="B322" s="69"/>
      <c r="C322" s="236" t="s">
        <v>153</v>
      </c>
      <c r="D322" s="237">
        <v>248</v>
      </c>
      <c r="E322" s="29">
        <f>80.56823</f>
        <v>80.56823</v>
      </c>
      <c r="F322" s="29">
        <f>452.96046</f>
        <v>452.96046000000001</v>
      </c>
      <c r="G322" s="238">
        <f>D322-F322</f>
        <v>-204.96046000000001</v>
      </c>
      <c r="H322" s="29">
        <f>205.24985</f>
        <v>205.24985000000001</v>
      </c>
      <c r="I322" s="242"/>
      <c r="J322" s="127"/>
    </row>
    <row r="323" spans="1:10" ht="17.5" customHeight="1" x14ac:dyDescent="0.35">
      <c r="A323" s="223"/>
      <c r="B323" s="69"/>
      <c r="C323" s="239" t="s">
        <v>154</v>
      </c>
      <c r="D323" s="240">
        <v>22048</v>
      </c>
      <c r="E323" s="29">
        <f>29.88432</f>
        <v>29.884319999999999</v>
      </c>
      <c r="F323" s="29">
        <f>791.75547</f>
        <v>791.75546999999995</v>
      </c>
      <c r="G323" s="241">
        <f>D323-F323</f>
        <v>21256.24453</v>
      </c>
      <c r="H323" s="29">
        <f>1155.71446</f>
        <v>1155.7144599999999</v>
      </c>
      <c r="I323" s="26"/>
      <c r="J323" s="127"/>
    </row>
    <row r="324" spans="1:10" ht="17.149999999999999" customHeight="1" x14ac:dyDescent="0.35">
      <c r="A324" s="223"/>
      <c r="B324" s="69"/>
      <c r="C324" s="306" t="s">
        <v>86</v>
      </c>
      <c r="D324" s="229">
        <f>D322+D323</f>
        <v>22296</v>
      </c>
      <c r="E324" s="39">
        <f>E323+E322</f>
        <v>110.45255</v>
      </c>
      <c r="F324" s="39">
        <f>F323+F322</f>
        <v>1244.7159299999998</v>
      </c>
      <c r="G324" s="39">
        <f>G323+G322</f>
        <v>21051.284070000002</v>
      </c>
      <c r="H324" s="39">
        <f>H323+H322</f>
        <v>1360.9643099999998</v>
      </c>
      <c r="I324" s="26"/>
      <c r="J324" s="127"/>
    </row>
    <row r="325" spans="1:10" ht="22.5" customHeight="1" x14ac:dyDescent="0.35">
      <c r="A325" s="223"/>
      <c r="B325" s="69"/>
      <c r="C325" s="314" t="s">
        <v>155</v>
      </c>
      <c r="D325" s="314"/>
      <c r="E325" s="314"/>
      <c r="F325" s="314"/>
      <c r="G325" s="314"/>
      <c r="H325" s="314"/>
      <c r="I325" s="314"/>
      <c r="J325" s="315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112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144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145</v>
      </c>
      <c r="E332" s="212" t="s">
        <v>146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90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147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49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13" t="s">
        <v>148</v>
      </c>
      <c r="D337" s="313"/>
      <c r="E337" s="313"/>
      <c r="F337" s="313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107</v>
      </c>
      <c r="D342" s="19" t="s">
        <v>1</v>
      </c>
      <c r="E342" s="246" t="s">
        <v>149</v>
      </c>
      <c r="F342" s="246" t="s">
        <v>150</v>
      </c>
      <c r="G342" s="246" t="s">
        <v>151</v>
      </c>
      <c r="H342" s="224" t="s">
        <v>152</v>
      </c>
      <c r="I342" s="247"/>
      <c r="J342" s="13"/>
    </row>
    <row r="343" spans="1:10" ht="0" hidden="1" customHeight="1" x14ac:dyDescent="0.35">
      <c r="A343" s="223"/>
      <c r="B343" s="69"/>
      <c r="C343" s="225" t="s">
        <v>153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154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86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14" t="s">
        <v>155</v>
      </c>
      <c r="D346" s="314"/>
      <c r="E346" s="314"/>
      <c r="F346" s="314"/>
      <c r="G346" s="314"/>
      <c r="H346" s="314"/>
      <c r="I346" s="314"/>
      <c r="J346" s="315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B2:J2"/>
    <mergeCell ref="B9:J9"/>
    <mergeCell ref="C11:D11"/>
    <mergeCell ref="E11:F11"/>
    <mergeCell ref="G11:H11"/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28&amp;R14.07.2025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2025-07-14T08:05:15Z</dcterms:modified>
</cp:coreProperties>
</file>