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5C3FAFFB-508A-4C05-8BCE-284B2A4779D1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H125" i="1" s="1"/>
  <c r="G124" i="1"/>
  <c r="H124" i="1" s="1"/>
  <c r="H345" i="1"/>
  <c r="F345" i="1"/>
  <c r="E345" i="1"/>
  <c r="D345" i="1"/>
  <c r="G344" i="1"/>
  <c r="G345" i="1" s="1"/>
  <c r="G343" i="1"/>
  <c r="E336" i="1"/>
  <c r="H324" i="1"/>
  <c r="D324" i="1"/>
  <c r="H323" i="1"/>
  <c r="F323" i="1"/>
  <c r="F324" i="1" s="1"/>
  <c r="E323" i="1"/>
  <c r="E324" i="1" s="1"/>
  <c r="H322" i="1"/>
  <c r="G322" i="1"/>
  <c r="F322" i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H271" i="1"/>
  <c r="G271" i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H266" i="1"/>
  <c r="G266" i="1"/>
  <c r="F266" i="1"/>
  <c r="I265" i="1"/>
  <c r="G265" i="1"/>
  <c r="G262" i="1" s="1"/>
  <c r="G273" i="1" s="1"/>
  <c r="F265" i="1"/>
  <c r="F262" i="1" s="1"/>
  <c r="I264" i="1"/>
  <c r="H264" i="1"/>
  <c r="G264" i="1"/>
  <c r="F264" i="1"/>
  <c r="I263" i="1"/>
  <c r="G263" i="1"/>
  <c r="H263" i="1" s="1"/>
  <c r="F263" i="1"/>
  <c r="I262" i="1"/>
  <c r="I273" i="1" s="1"/>
  <c r="E262" i="1"/>
  <c r="E273" i="1" s="1"/>
  <c r="D262" i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F241" i="1" s="1"/>
  <c r="G241" i="1" s="1"/>
  <c r="E237" i="1"/>
  <c r="E241" i="1" s="1"/>
  <c r="D219" i="1"/>
  <c r="H218" i="1"/>
  <c r="F218" i="1"/>
  <c r="G218" i="1" s="1"/>
  <c r="E218" i="1"/>
  <c r="H217" i="1"/>
  <c r="F217" i="1"/>
  <c r="F215" i="1" s="1"/>
  <c r="E217" i="1"/>
  <c r="H216" i="1"/>
  <c r="H215" i="1" s="1"/>
  <c r="H219" i="1" s="1"/>
  <c r="F216" i="1"/>
  <c r="E216" i="1"/>
  <c r="E215" i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F202" i="1"/>
  <c r="G202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E165" i="1"/>
  <c r="E163" i="1" s="1"/>
  <c r="H164" i="1"/>
  <c r="H163" i="1" s="1"/>
  <c r="F164" i="1"/>
  <c r="F163" i="1" s="1"/>
  <c r="G163" i="1" s="1"/>
  <c r="E164" i="1"/>
  <c r="H162" i="1"/>
  <c r="F162" i="1"/>
  <c r="E162" i="1"/>
  <c r="H161" i="1"/>
  <c r="F161" i="1"/>
  <c r="E161" i="1"/>
  <c r="H160" i="1"/>
  <c r="H169" i="1" s="1"/>
  <c r="G160" i="1"/>
  <c r="F160" i="1"/>
  <c r="E160" i="1"/>
  <c r="I135" i="1"/>
  <c r="H135" i="1"/>
  <c r="G135" i="1"/>
  <c r="F135" i="1"/>
  <c r="I134" i="1"/>
  <c r="G134" i="1"/>
  <c r="H134" i="1" s="1"/>
  <c r="F134" i="1"/>
  <c r="H133" i="1"/>
  <c r="I132" i="1"/>
  <c r="H132" i="1"/>
  <c r="G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H128" i="1"/>
  <c r="G128" i="1"/>
  <c r="F128" i="1"/>
  <c r="I127" i="1"/>
  <c r="G127" i="1"/>
  <c r="H127" i="1" s="1"/>
  <c r="H126" i="1" s="1"/>
  <c r="F127" i="1"/>
  <c r="F126" i="1" s="1"/>
  <c r="I126" i="1"/>
  <c r="E126" i="1"/>
  <c r="D126" i="1"/>
  <c r="I125" i="1"/>
  <c r="F125" i="1"/>
  <c r="I124" i="1"/>
  <c r="F124" i="1"/>
  <c r="I123" i="1"/>
  <c r="I121" i="1" s="1"/>
  <c r="I120" i="1" s="1"/>
  <c r="G123" i="1"/>
  <c r="H123" i="1" s="1"/>
  <c r="F123" i="1"/>
  <c r="I122" i="1"/>
  <c r="H122" i="1"/>
  <c r="G122" i="1"/>
  <c r="F122" i="1"/>
  <c r="F121" i="1" s="1"/>
  <c r="F120" i="1" s="1"/>
  <c r="E121" i="1"/>
  <c r="D121" i="1"/>
  <c r="D120" i="1" s="1"/>
  <c r="E120" i="1"/>
  <c r="I119" i="1"/>
  <c r="H119" i="1"/>
  <c r="F119" i="1"/>
  <c r="I118" i="1"/>
  <c r="G118" i="1"/>
  <c r="H118" i="1" s="1"/>
  <c r="F118" i="1"/>
  <c r="I117" i="1"/>
  <c r="H117" i="1"/>
  <c r="G117" i="1"/>
  <c r="F117" i="1"/>
  <c r="F115" i="1" s="1"/>
  <c r="I116" i="1"/>
  <c r="I115" i="1" s="1"/>
  <c r="I137" i="1" s="1"/>
  <c r="G116" i="1"/>
  <c r="H116" i="1" s="1"/>
  <c r="H115" i="1" s="1"/>
  <c r="F116" i="1"/>
  <c r="E115" i="1"/>
  <c r="E137" i="1" s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F83" i="1" s="1"/>
  <c r="F82" i="1" s="1"/>
  <c r="I83" i="1"/>
  <c r="I82" i="1" s="1"/>
  <c r="E83" i="1"/>
  <c r="E82" i="1" s="1"/>
  <c r="D83" i="1"/>
  <c r="D82" i="1"/>
  <c r="I81" i="1"/>
  <c r="G81" i="1"/>
  <c r="H81" i="1" s="1"/>
  <c r="H79" i="1" s="1"/>
  <c r="F81" i="1"/>
  <c r="F79" i="1" s="1"/>
  <c r="F94" i="1" s="1"/>
  <c r="I80" i="1"/>
  <c r="I79" i="1" s="1"/>
  <c r="H80" i="1"/>
  <c r="G80" i="1"/>
  <c r="F80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I26" i="1" s="1"/>
  <c r="H52" i="1"/>
  <c r="G52" i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I25" i="1" s="1"/>
  <c r="G34" i="1"/>
  <c r="G33" i="1" s="1"/>
  <c r="F34" i="1"/>
  <c r="F33" i="1" s="1"/>
  <c r="F25" i="1" s="1"/>
  <c r="E33" i="1"/>
  <c r="D33" i="1"/>
  <c r="D25" i="1" s="1"/>
  <c r="I32" i="1"/>
  <c r="H32" i="1"/>
  <c r="G32" i="1"/>
  <c r="F32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F26" i="1" s="1"/>
  <c r="E26" i="1"/>
  <c r="E25" i="1" s="1"/>
  <c r="D26" i="1"/>
  <c r="I24" i="1"/>
  <c r="G24" i="1"/>
  <c r="G22" i="1" s="1"/>
  <c r="F24" i="1"/>
  <c r="I23" i="1"/>
  <c r="I22" i="1" s="1"/>
  <c r="H23" i="1"/>
  <c r="G23" i="1"/>
  <c r="F23" i="1"/>
  <c r="F22" i="1"/>
  <c r="E22" i="1"/>
  <c r="E42" i="1" s="1"/>
  <c r="D22" i="1"/>
  <c r="D42" i="1" s="1"/>
  <c r="H16" i="1"/>
  <c r="F16" i="1"/>
  <c r="D16" i="1"/>
  <c r="H33" i="1" l="1"/>
  <c r="I94" i="1"/>
  <c r="F42" i="1"/>
  <c r="F137" i="1"/>
  <c r="H192" i="1"/>
  <c r="F273" i="1"/>
  <c r="G25" i="1"/>
  <c r="G42" i="1" s="1"/>
  <c r="F219" i="1"/>
  <c r="G219" i="1" s="1"/>
  <c r="G215" i="1"/>
  <c r="H121" i="1"/>
  <c r="H120" i="1" s="1"/>
  <c r="H137" i="1" s="1"/>
  <c r="E169" i="1"/>
  <c r="F169" i="1"/>
  <c r="G169" i="1" s="1"/>
  <c r="F304" i="1"/>
  <c r="G304" i="1" s="1"/>
  <c r="G294" i="1"/>
  <c r="I42" i="1"/>
  <c r="H34" i="1"/>
  <c r="G79" i="1"/>
  <c r="G94" i="1" s="1"/>
  <c r="H24" i="1"/>
  <c r="H22" i="1" s="1"/>
  <c r="H27" i="1"/>
  <c r="H26" i="1" s="1"/>
  <c r="H25" i="1" s="1"/>
  <c r="H84" i="1"/>
  <c r="H83" i="1" s="1"/>
  <c r="H82" i="1" s="1"/>
  <c r="H94" i="1" s="1"/>
  <c r="G115" i="1"/>
  <c r="G192" i="1"/>
  <c r="H265" i="1"/>
  <c r="H262" i="1" s="1"/>
  <c r="H273" i="1" s="1"/>
  <c r="G121" i="1"/>
  <c r="G323" i="1"/>
  <c r="G324" i="1" s="1"/>
  <c r="G126" i="1"/>
  <c r="F206" i="1"/>
  <c r="G206" i="1" s="1"/>
  <c r="G237" i="1"/>
  <c r="G162" i="1"/>
  <c r="H42" i="1" l="1"/>
  <c r="G120" i="1"/>
  <c r="G137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<sst xmlns="http://schemas.openxmlformats.org/spreadsheetml/2006/main" count="391" uniqueCount="166">
  <si>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</si>
  <si>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</si>
  <si>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</si>
  <si>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</si>
  <si>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</si>
  <si>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</si>
  <si>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</si>
  <si>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</si>
  <si>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</si>
  <si>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</si>
  <si>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</si>
  <si>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</si>
  <si>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</si>
  <si>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</si>
  <si>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</si>
  <si>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</si>
  <si>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</si>
  <si>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</si>
  <si>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</si>
  <si>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</si>
  <si>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</si>
  <si>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</si>
  <si>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</si>
  <si>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</si>
  <si>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</si>
  <si>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</si>
  <si>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</si>
  <si>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</si>
  <si>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</si>
  <si>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</si>
  <si>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</si>
  <si>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</si>
  <si>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</si>
  <si>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</si>
  <si>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</si>
  <si>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</si>
  <si>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</si>
  <si>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</si>
  <si>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</si>
  <si>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</si>
  <si>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</si>
  <si>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</si>
  <si>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</si>
  <si>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</si>
  <si>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</si>
  <si>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</si>
  <si>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</si>
  <si>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</si>
  <si>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</si>
  <si>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</si>
  <si>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</si>
  <si>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</si>
  <si>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</si>
  <si>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</si>
  <si>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</si>
  <si>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</si>
  <si>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</si>
  <si>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</si>
  <si>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</si>
  <si>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</si>
  <si>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</si>
  <si>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</si>
  <si>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</si>
  <si>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</si>
  <si>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</si>
  <si>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</si>
  <si>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</si>
  <si>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</si>
  <si>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</si>
  <si>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</si>
  <si>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</si>
  <si>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</si>
  <si>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</si>
  <si>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</si>
  <si>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</si>
  <si>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</si>
  <si>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</si>
  <si>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</si>
  <si>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</si>
  <si>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</si>
  <si>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</si>
  <si>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</si>
  <si>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</si>
  <si>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</si>
  <si>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</si>
  <si>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</si>
  <si>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</si>
  <si>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</si>
  <si>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</si>
  <si>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</si>
  <si>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</si>
  <si>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</si>
  <si>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</si>
  <si>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</si>
  <si>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</si>
  <si>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</si>
  <si>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</si>
  <si>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</si>
  <si>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</si>
  <si>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</si>
  <si>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</si>
  <si>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</si>
  <si>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</si>
  <si>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</si>
  <si>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</si>
  <si>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</si>
  <si>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</si>
  <si>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</si>
  <si>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</si>
  <si>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</si>
  <si>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</si>
  <si>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</si>
  <si>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</si>
  <si>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</si>
  <si>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</si>
  <si>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</si>
  <si>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</si>
  <si>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</si>
  <si>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</si>
  <si>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</si>
  <si>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</si>
  <si>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</si>
  <si>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</si>
  <si>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</si>
  <si>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</si>
  <si>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</si>
  <si>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</si>
  <si>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</si>
  <si>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</si>
  <si>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</si>
  <si>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</si>
  <si>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</si>
  <si>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</si>
  <si>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</si>
  <si>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</si>
  <si>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</si>
  <si>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</si>
  <si>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</si>
  <si>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</si>
  <si>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</si>
  <si>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</si>
  <si>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</si>
  <si>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</si>
  <si>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</si>
  <si>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</si>
  <si>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</si>
  <si>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</si>
  <si>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</si>
  <si>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</si>
  <si>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</si>
  <si>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</si>
  <si>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</si>
  <si>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</si>
  <si>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</si>
  <si>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</si>
  <si>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</si>
  <si>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</si>
  <si>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</si>
  <si>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36 tonn, men det legges til grunn at hele avsetningen tas</t>
  </si>
  <si>
    <t>4 Registrert rekreasjonsfiske utgjør 163 tonn, men det legges til grunn at hele avsetningen tas</t>
  </si>
  <si>
    <t>3 Registrert rekreasjonsfiske utgjør 616 tonn, men det legges til grunn at hele avsetningen tas</t>
  </si>
  <si>
    <t>FANGST UKE 20</t>
  </si>
  <si>
    <t>FANGST T.O.M UKE 20</t>
  </si>
  <si>
    <t>RESTKVOTER UKE 20</t>
  </si>
  <si>
    <t>FANGST T.O.M UKE 20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</si>
  <si>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350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</si>
</sst>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6" zoomScale="115" zoomScaleNormal="115" zoomScaleSheetLayoutView="100" zoomScalePageLayoutView="85" workbookViewId="0">
      <selection activeCell="G142" sqref="G14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344.322</v>
      </c>
      <c r="G22" s="27">
        <f t="shared" si="0"/>
        <v>13284.944939999999</v>
      </c>
      <c r="H22" s="10">
        <f>H24+H23</f>
        <v>20147.055059999999</v>
      </c>
      <c r="I22" s="10">
        <f t="shared" si="0"/>
        <v>18445.48762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>
        <v>32689</v>
      </c>
      <c r="F23" s="22">
        <f>344.322</f>
        <v>344.322</v>
      </c>
      <c r="G23" s="22">
        <f>12917.85744</f>
        <v>12917.85744</v>
      </c>
      <c r="H23" s="22">
        <f>E23-G23</f>
        <v>19771.14256</v>
      </c>
      <c r="I23" s="22">
        <f>18148.51162</f>
        <v>18148.511620000001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367.0875</f>
        <v>367.08749999999998</v>
      </c>
      <c r="H24" s="22">
        <f>E24-G24</f>
        <v>375.91250000000002</v>
      </c>
      <c r="I24" s="22">
        <f>296.976</f>
        <v>296.976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325.84792999999996</v>
      </c>
      <c r="G25" s="10">
        <f t="shared" si="1"/>
        <v>77033.0671899999</v>
      </c>
      <c r="H25" s="10">
        <f>H33+H32+H26</f>
        <v>21008.9328100001</v>
      </c>
      <c r="I25" s="10">
        <f t="shared" si="1"/>
        <v>93331.01152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251.84018999999998</v>
      </c>
      <c r="G26" s="129">
        <f>G27+G28+G29+G30+G31</f>
        <v>63420.874709999996</v>
      </c>
      <c r="H26" s="129">
        <f>H27+H28+H29+H30+H31</f>
        <v>14437.125290000002</v>
      </c>
      <c r="I26" s="129">
        <f t="shared" ref="I26" si="2">I27+I28+I29+I30+I31</f>
        <v>76385.821580000003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>
        <v>20868</v>
      </c>
      <c r="F27" s="209">
        <f>54.09831 - F53</f>
        <v>54.098309999999998</v>
      </c>
      <c r="G27" s="123">
        <f>18807.92043 - G53</f>
        <v>18807.920429999998</v>
      </c>
      <c r="H27" s="123">
        <f t="shared" ref="H27:H41" si="3">E27-G27</f>
        <v>2060.0795700000017</v>
      </c>
      <c r="I27" s="123">
        <f>21767.03631 - I53</f>
        <v>21767.03631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>
        <v>19720</v>
      </c>
      <c r="F28" s="123">
        <f>46.79672 - F54</f>
        <v>46.796720000000001</v>
      </c>
      <c r="G28" s="123">
        <f>18156.73938 - G54</f>
        <v>18156.739379999999</v>
      </c>
      <c r="H28" s="123">
        <f t="shared" si="3"/>
        <v>1563.2606200000009</v>
      </c>
      <c r="I28" s="123">
        <f>21352.31237 - I54</f>
        <v>21352.31237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>
        <v>17625</v>
      </c>
      <c r="F29" s="123">
        <f>96.73234 - F55</f>
        <v>96.732339999999994</v>
      </c>
      <c r="G29" s="123">
        <f>15052.35439 - G55</f>
        <v>15052.35439</v>
      </c>
      <c r="H29" s="123">
        <f t="shared" si="3"/>
        <v>2572.6456099999996</v>
      </c>
      <c r="I29" s="123">
        <f>19667.31681 - I55</f>
        <v>19667.31681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>
        <v>12954</v>
      </c>
      <c r="F30" s="123">
        <f>54.21282 - F56</f>
        <v>54.212820000000001</v>
      </c>
      <c r="G30" s="123">
        <f>11403.86051 - G56</f>
        <v>11403.86051</v>
      </c>
      <c r="H30" s="123">
        <f t="shared" si="3"/>
        <v>1550.1394899999996</v>
      </c>
      <c r="I30" s="123">
        <f>13599.15609 - I56</f>
        <v>13599.15609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>
        <v>10907</v>
      </c>
      <c r="F32" s="129">
        <f>1.54163</f>
        <v>1.5416300000000001</v>
      </c>
      <c r="G32" s="129">
        <f>4376.10349</f>
        <v>4376.1034900000004</v>
      </c>
      <c r="H32" s="129">
        <f t="shared" si="3"/>
        <v>6530.8965099999996</v>
      </c>
      <c r="I32" s="129">
        <f>6629.5315</f>
        <v>6629.5315000000001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72.46611</v>
      </c>
      <c r="G33" s="129">
        <f>G34+G35</f>
        <v>9236.0889899999001</v>
      </c>
      <c r="H33" s="129">
        <f t="shared" si="3"/>
        <v>40.91101000009985</v>
      </c>
      <c r="I33" s="129">
        <f>I34+I35</f>
        <v>10315.658439999999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>
        <v>8412</v>
      </c>
      <c r="F34" s="123">
        <f>114.46611 - F57 - F58</f>
        <v>72.46611</v>
      </c>
      <c r="G34" s="129">
        <f>11591.0889899999 - G57 - G58</f>
        <v>9236.0889899999001</v>
      </c>
      <c r="H34" s="123">
        <f t="shared" si="3"/>
        <v>-824.08898999990015</v>
      </c>
      <c r="I34" s="123">
        <f>11950.65844 - I57 - I58</f>
        <v>10315.658439999999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476.1124</f>
        <v>476.11239999999998</v>
      </c>
      <c r="H36" s="136">
        <f t="shared" si="3"/>
        <v>23.88760000000002</v>
      </c>
      <c r="I36" s="136">
        <f>270.3376</f>
        <v>270.33760000000001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>
        <v>880</v>
      </c>
      <c r="F37" s="95">
        <f>1.8925</f>
        <v>1.8925000000000001</v>
      </c>
      <c r="G37" s="95">
        <f>525.7531</f>
        <v>525.75310000000002</v>
      </c>
      <c r="H37" s="95">
        <f t="shared" si="3"/>
        <v>354.24689999999998</v>
      </c>
      <c r="I37" s="95">
        <f>539.98117</f>
        <v>539.98117000000002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42</v>
      </c>
      <c r="G38" s="95">
        <f>G58</f>
        <v>2355</v>
      </c>
      <c r="H38" s="95">
        <f t="shared" si="3"/>
        <v>645</v>
      </c>
      <c r="I38" s="95">
        <f>I58</f>
        <v>1635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>
        <v>7000</v>
      </c>
      <c r="F39" s="95">
        <f>6.42048</f>
        <v>6.4204800000000004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>
        <v>450</v>
      </c>
      <c r="F40" s="95">
        <f>3.5779</f>
        <v>3.5779000000000001</v>
      </c>
      <c r="G40" s="95">
        <f>385.56119</f>
        <v>385.56119000000001</v>
      </c>
      <c r="H40" s="95">
        <f t="shared" si="3"/>
        <v>64.438809999999989</v>
      </c>
      <c r="I40" s="95">
        <f>354.7767</f>
        <v>354.77670000000001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53.62168</f>
        <v>53.621679999999998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724.06081000000006</v>
      </c>
      <c r="G42" s="73">
        <f t="shared" si="4"/>
        <v>101101.82236999989</v>
      </c>
      <c r="H42" s="73">
        <f>H22+H25+H36+H37+H38+H39+H40+H41</f>
        <v>42202.1776300001</v>
      </c>
      <c r="I42" s="73">
        <f t="shared" si="4"/>
        <v>121630.21629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42</v>
      </c>
      <c r="G58" s="136">
        <v>2355</v>
      </c>
      <c r="H58" s="136">
        <f>E58-G58</f>
        <v>645</v>
      </c>
      <c r="I58" s="136">
        <v>1635</v>
      </c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28879</v>
      </c>
      <c r="F79" s="10">
        <f t="shared" ref="F79:I79" si="5">F81+F80</f>
        <v>322.2226</v>
      </c>
      <c r="G79" s="10">
        <f t="shared" si="5"/>
        <v>20784.74322</v>
      </c>
      <c r="H79" s="10">
        <f>H81+H80</f>
        <v>8094.2567800000006</v>
      </c>
      <c r="I79" s="10">
        <f t="shared" si="5"/>
        <v>18670.86722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>
        <v>28123</v>
      </c>
      <c r="F80" s="22">
        <f>322.2226</f>
        <v>322.2226</v>
      </c>
      <c r="G80" s="22">
        <f>20281.44889</f>
        <v>20281.44889</v>
      </c>
      <c r="H80" s="22">
        <f>E80-G80</f>
        <v>7841.5511100000003</v>
      </c>
      <c r="I80" s="22">
        <f>18260.76382</f>
        <v>18260.76382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503.29433</f>
        <v>503.29433</v>
      </c>
      <c r="H81" s="48">
        <f>E81-G81</f>
        <v>252.70567</v>
      </c>
      <c r="I81" s="48">
        <f>410.1034</f>
        <v>410.10340000000002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50748</v>
      </c>
      <c r="F82" s="10">
        <f t="shared" ref="F82:I82" si="6">F83+F88+F89</f>
        <v>503.71421999999995</v>
      </c>
      <c r="G82" s="10">
        <f t="shared" si="6"/>
        <v>17950.623309999974</v>
      </c>
      <c r="H82" s="10">
        <f>H83+H88+H89</f>
        <v>32797.376690000026</v>
      </c>
      <c r="I82" s="10">
        <f t="shared" si="6"/>
        <v>20494.456809999971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37462</v>
      </c>
      <c r="F83" s="129">
        <f t="shared" ref="F83:I83" si="7">F84+F85+F86+F87</f>
        <v>485.72152999999997</v>
      </c>
      <c r="G83" s="129">
        <f t="shared" si="7"/>
        <v>13665.33850999997</v>
      </c>
      <c r="H83" s="129">
        <f>H84+H85+H86+H87</f>
        <v>23796.661490000028</v>
      </c>
      <c r="I83" s="129">
        <f t="shared" si="7"/>
        <v>16602.52716999995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>
        <v>10382</v>
      </c>
      <c r="F84" s="123">
        <f>32.24859</f>
        <v>32.24859</v>
      </c>
      <c r="G84" s="123">
        <f>2407.07442999998</f>
        <v>2407.0744299999801</v>
      </c>
      <c r="H84" s="123">
        <f t="shared" ref="H84:H93" si="8">E84-G84</f>
        <v>7974.9255700000194</v>
      </c>
      <c r="I84" s="123">
        <f>2499.68994999997</f>
        <v>2499.6899499999699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>
        <v>10815</v>
      </c>
      <c r="F85" s="123">
        <f>298.20079</f>
        <v>298.20078999999998</v>
      </c>
      <c r="G85" s="123">
        <f>4943.01616999999</f>
        <v>4943.0161699999899</v>
      </c>
      <c r="H85" s="123">
        <f t="shared" si="8"/>
        <v>5871.9838300000101</v>
      </c>
      <c r="I85" s="123">
        <f>4250.23751999998</f>
        <v>4250.2375199999797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>
        <v>9753</v>
      </c>
      <c r="F86" s="123">
        <f>91.88447</f>
        <v>91.884469999999993</v>
      </c>
      <c r="G86" s="123">
        <f>4027.63954</f>
        <v>4027.6395400000001</v>
      </c>
      <c r="H86" s="123">
        <f t="shared" si="8"/>
        <v>5725.3604599999999</v>
      </c>
      <c r="I86" s="123">
        <f>5614.16201</f>
        <v>5614.16201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>
        <v>6512</v>
      </c>
      <c r="F87" s="123">
        <f>63.38768</f>
        <v>63.387680000000003</v>
      </c>
      <c r="G87" s="123">
        <f>2287.60837</f>
        <v>2287.6083699999999</v>
      </c>
      <c r="H87" s="123">
        <f t="shared" si="8"/>
        <v>4224.3916300000001</v>
      </c>
      <c r="I87" s="123">
        <f>4238.43769</f>
        <v>4238.4376899999997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>
        <v>9205</v>
      </c>
      <c r="F88" s="129">
        <f>0.96696</f>
        <v>0.96696000000000004</v>
      </c>
      <c r="G88" s="129">
        <f>3065.96157</f>
        <v>3065.9615699999999</v>
      </c>
      <c r="H88" s="129">
        <f t="shared" si="8"/>
        <v>6139.0384300000005</v>
      </c>
      <c r="I88" s="129">
        <f>2846.41742</f>
        <v>2846.4174200000002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>
        <v>4081</v>
      </c>
      <c r="F89" s="72">
        <f>17.02573</f>
        <v>17.025729999999999</v>
      </c>
      <c r="G89" s="72">
        <f>1219.32323</f>
        <v>1219.32323</v>
      </c>
      <c r="H89" s="72">
        <f t="shared" si="8"/>
        <v>2861.67677</v>
      </c>
      <c r="I89" s="72">
        <f>1045.51222000002</f>
        <v>1045.5122200000201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0.0098</f>
        <v>9.7999999999999997E-3</v>
      </c>
      <c r="G90" s="95">
        <f>11.61987</f>
        <v>11.619870000000001</v>
      </c>
      <c r="H90" s="95">
        <f t="shared" si="8"/>
        <v>307.38013000000001</v>
      </c>
      <c r="I90" s="95">
        <f>27.12243</f>
        <v>27.122430000000001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>
        <v>300</v>
      </c>
      <c r="F91" s="136">
        <f>0.1349</f>
        <v>0.13489999999999999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>
        <v>50</v>
      </c>
      <c r="F92" s="95">
        <f>0.15826</f>
        <v>0.15826000000000001</v>
      </c>
      <c r="G92" s="95">
        <f>3.46924</f>
        <v>3.4692400000000001</v>
      </c>
      <c r="H92" s="136">
        <f t="shared" si="8"/>
        <v>46.530760000000001</v>
      </c>
      <c r="I92" s="95">
        <f>11.8069</f>
        <v>11.806900000000001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8.6115</f>
        <v>8.6114999999999995</v>
      </c>
      <c r="H93" s="136">
        <f t="shared" si="8"/>
        <v>-8.6114999999999995</v>
      </c>
      <c r="I93" s="136">
        <f>5.1777</f>
        <v>5.1776999999999997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80296</v>
      </c>
      <c r="F94" s="73">
        <f t="shared" ref="F94:I94" si="10">F79+F82+F90+F91+F92+F93</f>
        <v>826.23978</v>
      </c>
      <c r="G94" s="73">
        <f t="shared" si="10"/>
        <v>39059.06713999997</v>
      </c>
      <c r="H94" s="73">
        <f>H79+H82+H90+H91+H92+H93</f>
        <v>41236.93286000003</v>
      </c>
      <c r="I94" s="73">
        <f t="shared" si="10"/>
        <v>39509.431059999981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245.08439999999999</v>
      </c>
      <c r="G115" s="10">
        <f t="shared" si="11"/>
        <v>16952.19383</v>
      </c>
      <c r="H115" s="10">
        <f t="shared" si="11"/>
        <v>37293.806170000003</v>
      </c>
      <c r="I115" s="10">
        <f t="shared" si="11"/>
        <v>28478.608619999999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>
        <v>43397</v>
      </c>
      <c r="F116" s="22">
        <f>245.0844</f>
        <v>245.08439999999999</v>
      </c>
      <c r="G116" s="22">
        <f>14592.88878</f>
        <v>14592.888779999999</v>
      </c>
      <c r="H116" s="22">
        <f>E116-G116</f>
        <v>28804.111219999999</v>
      </c>
      <c r="I116" s="22">
        <f>25313.22982</f>
        <v>25313.22982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2286.36455</f>
        <v>2286.3645499999998</v>
      </c>
      <c r="H117" s="22">
        <f>E117-G117</f>
        <v>8062.6354499999998</v>
      </c>
      <c r="I117" s="22">
        <f>3100.0212</f>
        <v>3100.0212000000001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>
        <v>36653</v>
      </c>
      <c r="F119" s="92">
        <f>113.6788</f>
        <v>113.6788</v>
      </c>
      <c r="G119" s="92">
        <f>3633.2178+350.2127</f>
        <v>3983.4304999999999</v>
      </c>
      <c r="H119" s="92">
        <f>E119-G119</f>
        <v>32669.569500000001</v>
      </c>
      <c r="I119" s="92">
        <f>5701.3202</f>
        <v>5701.3202000000001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321.83290999999997</v>
      </c>
      <c r="G120" s="91">
        <f t="shared" ref="G120" si="12">G121+G126+G129</f>
        <v>19920.92096000001</v>
      </c>
      <c r="H120" s="91">
        <f>H121+H126+H129</f>
        <v>37189.079039999982</v>
      </c>
      <c r="I120" s="91">
        <f>I121+I126+I129</f>
        <v>33766.469729999983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216.47075000000001</v>
      </c>
      <c r="G121" s="121">
        <f>G122+G123+G125+G124</f>
        <v>15186.664030000011</v>
      </c>
      <c r="H121" s="121">
        <f>H122+H123+H124+H125</f>
        <v>27995.335969999986</v>
      </c>
      <c r="I121" s="121">
        <f>I122+I123+I124+I125</f>
        <v>25202.739939999989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>
        <v>11476</v>
      </c>
      <c r="F122" s="123">
        <f>67.05665</f>
        <v>67.056650000000005</v>
      </c>
      <c r="G122" s="123">
        <f>4168.58851</f>
        <v>4168.5885099999996</v>
      </c>
      <c r="H122" s="123">
        <f>E122-G122</f>
        <v>7307.4114900000004</v>
      </c>
      <c r="I122" s="123">
        <f>5601.23103</f>
        <v>5601.2310299999999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>
        <v>11835</v>
      </c>
      <c r="F123" s="123">
        <f>22.06485</f>
        <v>22.06485</v>
      </c>
      <c r="G123" s="123">
        <f>4677.24042000001</f>
        <v>4677.2404200000101</v>
      </c>
      <c r="H123" s="123">
        <f>E123-G123</f>
        <v>7157.7595799999899</v>
      </c>
      <c r="I123" s="123">
        <f>7561.52924999999</f>
        <v>7561.5292499999896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>
        <v>10473</v>
      </c>
      <c r="F124" s="123">
        <f>85.52945</f>
        <v>85.529449999999997</v>
      </c>
      <c r="G124" s="123">
        <f>3327.77655-21.8318</f>
        <v>3305.9447500000001</v>
      </c>
      <c r="H124" s="123">
        <f>E124-G124</f>
        <v>7167.0552499999994</v>
      </c>
      <c r="I124" s="123">
        <f>5728.27933</f>
        <v>5728.2793300000003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>
        <v>9398</v>
      </c>
      <c r="F125" s="123">
        <f>41.8198</f>
        <v>41.819800000000001</v>
      </c>
      <c r="G125" s="123">
        <f>3363.27125-328.3809</f>
        <v>3034.8903499999997</v>
      </c>
      <c r="H125" s="123">
        <f>E125-G125</f>
        <v>6363.1096500000003</v>
      </c>
      <c r="I125" s="123">
        <f>6311.70033</f>
        <v>6311.7003299999997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1.7625</v>
      </c>
      <c r="G126" s="129">
        <f>SUM(G127:G128)</f>
        <v>1850.34789</v>
      </c>
      <c r="H126" s="129">
        <f>H127+H128</f>
        <v>4277.65211</v>
      </c>
      <c r="I126" s="129">
        <f>SUM(I127:I128)</f>
        <v>5755.8833300000006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>
        <v>5628</v>
      </c>
      <c r="F127" s="123">
        <f>0.0912</f>
        <v>9.1200000000000003E-2</v>
      </c>
      <c r="G127" s="123">
        <f>1681.66742</f>
        <v>1681.66742</v>
      </c>
      <c r="H127" s="123">
        <f t="shared" ref="H127:H135" si="13">E127-G127</f>
        <v>3946.3325800000002</v>
      </c>
      <c r="I127" s="123">
        <f>5633.26446</f>
        <v>5633.2644600000003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>
        <v>500</v>
      </c>
      <c r="F128" s="123">
        <f>1.6713</f>
        <v>1.6713</v>
      </c>
      <c r="G128" s="123">
        <f>168.68047</f>
        <v>168.68047000000001</v>
      </c>
      <c r="H128" s="123">
        <f t="shared" si="13"/>
        <v>331.31952999999999</v>
      </c>
      <c r="I128" s="123">
        <f>122.61887</f>
        <v>122.61887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>
        <v>7800</v>
      </c>
      <c r="F129" s="72">
        <f>103.59966</f>
        <v>103.59966</v>
      </c>
      <c r="G129" s="72">
        <f>2883.90904</f>
        <v>2883.90904</v>
      </c>
      <c r="H129" s="72">
        <f t="shared" si="13"/>
        <v>4916.0909599999995</v>
      </c>
      <c r="I129" s="72">
        <f>2807.84645999999</f>
        <v>2807.8464599999902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>
        <v>156</v>
      </c>
      <c r="F130" s="136">
        <f>0.0189</f>
        <v>1.89E-2</v>
      </c>
      <c r="G130" s="136">
        <f>13.01788</f>
        <v>13.01788</v>
      </c>
      <c r="H130" s="136">
        <f t="shared" si="13"/>
        <v>142.98212000000001</v>
      </c>
      <c r="I130" s="136">
        <f>15.46545</f>
        <v>15.465450000000001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292.56</f>
        <v>292.56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>
        <v>2000</v>
      </c>
      <c r="F132" s="136">
        <f>8.50807</f>
        <v>8.50807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>
        <v>255</v>
      </c>
      <c r="F134" s="95">
        <f>0.0025</f>
        <v>2.5000000000000001E-3</v>
      </c>
      <c r="G134" s="95">
        <f>4.73608</f>
        <v>4.7360800000000003</v>
      </c>
      <c r="H134" s="136">
        <f t="shared" si="13"/>
        <v>250.26392000000001</v>
      </c>
      <c r="I134" s="95">
        <f>81.76405</f>
        <v>81.764049999999997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74.77426</f>
        <v>74.774259999999998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689.12558000000001</v>
      </c>
      <c r="G137" s="73">
        <f>G115+G119+G120+G130+G131+G132+G133+G134+G135</f>
        <v>42938.719000000012</v>
      </c>
      <c r="H137" s="73">
        <f>H115+H119+H120+H130+H131+H132+H133+H134+H135</f>
        <v>107831.28099999999</v>
      </c>
      <c r="I137" s="73">
        <f>I115+I119+I120+I130+I131+I132+I133+I134+I135</f>
        <v>70410.962309999988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14.91962</f>
        <v>14.91962</v>
      </c>
      <c r="F160" s="301">
        <f>551.903799999999</f>
        <v>551.90379999999902</v>
      </c>
      <c r="G160" s="42">
        <f>D160-F160-F161</f>
        <v>2554.5597000000007</v>
      </c>
      <c r="H160" s="301">
        <f>393.48008</f>
        <v>393.48007999999999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39.80004</f>
        <v>39.800040000000003</v>
      </c>
      <c r="F161" s="148">
        <f>647.5365</f>
        <v>647.53650000000005</v>
      </c>
      <c r="G161" s="219"/>
      <c r="H161" s="148">
        <f>629.77689</f>
        <v>629.77688999999998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39.71186</f>
        <v>39.711860000000001</v>
      </c>
      <c r="G162" s="166">
        <f>D162-F162</f>
        <v>160.28814</v>
      </c>
      <c r="H162" s="166">
        <f>51.71089</f>
        <v>51.710889999999999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8.4332200000000004</v>
      </c>
      <c r="F163" s="175">
        <f>F164+F165+F166</f>
        <v>139.71972</v>
      </c>
      <c r="G163" s="175">
        <f>D163-F163</f>
        <v>5490.2802799999999</v>
      </c>
      <c r="H163" s="175">
        <f>H164+H165+H166</f>
        <v>144.74462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2.82922</f>
        <v>2.8292199999999998</v>
      </c>
      <c r="F164" s="123">
        <f>51.8165</f>
        <v>51.816499999999998</v>
      </c>
      <c r="G164" s="123"/>
      <c r="H164" s="123">
        <f>42.52828</f>
        <v>42.528280000000002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3.182</f>
        <v>3.1819999999999999</v>
      </c>
      <c r="F165" s="123">
        <f>58.0489</f>
        <v>58.048900000000003</v>
      </c>
      <c r="G165" s="123"/>
      <c r="H165" s="123">
        <f>54.24692</f>
        <v>54.246920000000003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2.422</f>
        <v>2.4220000000000002</v>
      </c>
      <c r="F166" s="186">
        <f>29.85432</f>
        <v>29.854320000000001</v>
      </c>
      <c r="G166" s="186"/>
      <c r="H166" s="186">
        <f>47.96942</f>
        <v>47.96942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5.246</f>
        <v>5.2460000000000004</v>
      </c>
      <c r="F167" s="136">
        <f>5.73196</f>
        <v>5.7319599999999999</v>
      </c>
      <c r="G167" s="136">
        <f>D167-F167</f>
        <v>85.268039999999999</v>
      </c>
      <c r="H167" s="136">
        <f>2.27</f>
        <v>2.27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68.398880000000005</v>
      </c>
      <c r="F169" s="188">
        <f>F160+F161+F162+F163+F167+F168</f>
        <v>1384.6038399999993</v>
      </c>
      <c r="G169" s="188">
        <f>D169-F169</f>
        <v>8290.3961600000002</v>
      </c>
      <c r="H169" s="188">
        <f>H160+H161+H162+H163+H167+H168</f>
        <v>1221.9824799999999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>
        <v>42740</v>
      </c>
      <c r="F189" s="124">
        <f>106.53746</f>
        <v>106.53746</v>
      </c>
      <c r="G189" s="124">
        <f>15364.95687</f>
        <v>15364.95687</v>
      </c>
      <c r="H189" s="124">
        <f>E189-G189</f>
        <v>27375.043129999998</v>
      </c>
      <c r="I189" s="124">
        <f>18070.38694</f>
        <v>18070.38694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>
        <v>100</v>
      </c>
      <c r="F190" s="124">
        <f>0.3088</f>
        <v>0.30880000000000002</v>
      </c>
      <c r="G190" s="124">
        <f>6.06608</f>
        <v>6.0660800000000004</v>
      </c>
      <c r="H190" s="124">
        <f>E190-G190</f>
        <v>93.933920000000001</v>
      </c>
      <c r="I190" s="124">
        <f>14.83049</f>
        <v>14.830489999999999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106.84626</v>
      </c>
      <c r="G192" s="190">
        <f>SUM(G189:G191)</f>
        <v>15371.02295</v>
      </c>
      <c r="H192" s="190">
        <f>E192-G192</f>
        <v>27514.977050000001</v>
      </c>
      <c r="I192" s="190">
        <f>SUM(I189:I191)</f>
        <v>18085.217430000001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62.859700000000004</v>
      </c>
      <c r="F202" s="72">
        <f>F203+F204</f>
        <v>2319.2719399999987</v>
      </c>
      <c r="G202" s="72">
        <f>D202-F202</f>
        <v>882.72806000000128</v>
      </c>
      <c r="H202" s="72">
        <f>H203+H204</f>
        <v>2378.6851500000002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61.2282</f>
        <v>61.228200000000001</v>
      </c>
      <c r="F203" s="72">
        <f>1797.0846</f>
        <v>1797.0845999999999</v>
      </c>
      <c r="G203" s="72"/>
      <c r="H203" s="72">
        <f>1876.49694</f>
        <v>1876.49694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1.6315</f>
        <v>1.6315</v>
      </c>
      <c r="F204" s="124">
        <f>522.187339999999</f>
        <v>522.18733999999904</v>
      </c>
      <c r="G204" s="168"/>
      <c r="H204" s="124">
        <f>502.18821</f>
        <v>502.18821000000003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104.32526</f>
        <v>104.32526</v>
      </c>
      <c r="F205" s="72">
        <f>2281.2749</f>
        <v>2281.2748999999999</v>
      </c>
      <c r="G205" s="72">
        <f>D205-F205</f>
        <v>1422.7251000000001</v>
      </c>
      <c r="H205" s="72">
        <f>3161.82225</f>
        <v>3161.8222500000002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167.18495999999999</v>
      </c>
      <c r="F206" s="190">
        <f>SUM(F202,F205)</f>
        <v>4600.5468399999991</v>
      </c>
      <c r="G206" s="190">
        <f>D206-F206</f>
        <v>2305.4531600000009</v>
      </c>
      <c r="H206" s="190">
        <f>SUM(H202,H205)</f>
        <v>5540.5074000000004</v>
      </c>
      <c r="I206" s="275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269.39317</v>
      </c>
      <c r="F215" s="72">
        <f>F216+F217</f>
        <v>3339.0939899999994</v>
      </c>
      <c r="G215" s="72">
        <f>D215-F215</f>
        <v>2176.9060100000006</v>
      </c>
      <c r="H215" s="72">
        <f>H216+H217</f>
        <v>2300.0990999999999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268.33925</f>
        <v>268.33924999999999</v>
      </c>
      <c r="F216" s="72">
        <f>3010.54712</f>
        <v>3010.5471200000002</v>
      </c>
      <c r="G216" s="72"/>
      <c r="H216" s="72">
        <f>2027.51644</f>
        <v>2027.5164400000001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1.05392</f>
        <v>1.05392</v>
      </c>
      <c r="F217" s="124">
        <f>328.546869999999</f>
        <v>328.54686999999899</v>
      </c>
      <c r="G217" s="168"/>
      <c r="H217" s="124">
        <f>272.58266</f>
        <v>272.58265999999998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57.24452</f>
        <v>57.244520000000001</v>
      </c>
      <c r="F218" s="72">
        <f>1775.66263</f>
        <v>1775.66263</v>
      </c>
      <c r="G218" s="72">
        <f>D218-F218</f>
        <v>1456.33737</v>
      </c>
      <c r="H218" s="72">
        <f>1353.78149000001</f>
        <v>1353.7814900000101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326.63769000000002</v>
      </c>
      <c r="F219" s="190">
        <f>SUM(F215,F218)</f>
        <v>5114.7566199999992</v>
      </c>
      <c r="G219" s="190">
        <f>D219-F219</f>
        <v>3633.2433800000008</v>
      </c>
      <c r="H219" s="190">
        <f>SUM(H215,H218)</f>
        <v>3653.8805900000098</v>
      </c>
      <c r="I219" s="275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2.04258</f>
        <v>2.0425800000000001</v>
      </c>
      <c r="F237" s="124">
        <f>72.8664300000001</f>
        <v>72.866430000000094</v>
      </c>
      <c r="G237" s="124">
        <f>D237-F237</f>
        <v>727.13356999999996</v>
      </c>
      <c r="H237" s="124">
        <f>180.88394</f>
        <v>180.88394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5.1097</f>
        <v>5.1097000000000001</v>
      </c>
      <c r="F238" s="124">
        <f>200.537219999999</f>
        <v>200.537219999999</v>
      </c>
      <c r="G238" s="124">
        <f>D238-F238</f>
        <v>505.46278000000098</v>
      </c>
      <c r="H238" s="124">
        <f>335.982639999999</f>
        <v>335.98263999999898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</f>
        <v>0</v>
      </c>
      <c r="F240" s="168">
        <f>0.12496</f>
        <v>0.12496</v>
      </c>
      <c r="G240" s="124">
        <f>D240-F240</f>
        <v>-0.12496</v>
      </c>
      <c r="H240" s="168">
        <f>0.6194</f>
        <v>0.61939999999999995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7.1522800000000002</v>
      </c>
      <c r="F241" s="190">
        <f>SUM(F237:F240)</f>
        <v>273.57360999999906</v>
      </c>
      <c r="G241" s="190">
        <f>D241-F241</f>
        <v>1242.426390000001</v>
      </c>
      <c r="H241" s="190">
        <f>H237+H238+H239+H240</f>
        <v>517.54011999999898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68.778000000000006</v>
      </c>
      <c r="G262" s="280">
        <f t="shared" si="15"/>
        <v>1458.02611</v>
      </c>
      <c r="H262" s="280">
        <f>H266+H265+H264+H263</f>
        <v>17381.973890000001</v>
      </c>
      <c r="I262" s="280">
        <f t="shared" si="15"/>
        <v>3026.6511799999998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258.76306</f>
        <v>258.76306</v>
      </c>
      <c r="H263" s="284">
        <f t="shared" ref="H263:H268" si="16">E263-G263</f>
        <v>9916.2369400000007</v>
      </c>
      <c r="I263" s="284">
        <f>845.14931</f>
        <v>845.14931000000001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390.3525</f>
        <v>390.35250000000002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>
        <v>1407</v>
      </c>
      <c r="F265" s="284">
        <f>5.9316</f>
        <v>5.9316000000000004</v>
      </c>
      <c r="G265" s="284">
        <f>694.23489</f>
        <v>694.23488999999995</v>
      </c>
      <c r="H265" s="284">
        <f t="shared" si="16"/>
        <v>712.76511000000005</v>
      </c>
      <c r="I265" s="284">
        <f>842.26658</f>
        <v>842.26657999999998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>
        <v>4609</v>
      </c>
      <c r="F266" s="284">
        <f>62.8464</f>
        <v>62.846400000000003</v>
      </c>
      <c r="G266" s="284">
        <f>469.38816</f>
        <v>469.38816000000003</v>
      </c>
      <c r="H266" s="284">
        <f t="shared" si="16"/>
        <v>4139.6118399999996</v>
      </c>
      <c r="I266" s="284">
        <f>948.88279</f>
        <v>948.88279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>
        <v>5500</v>
      </c>
      <c r="F267" s="294">
        <f>100.471</f>
        <v>100.471</v>
      </c>
      <c r="G267" s="294">
        <f>885.822</f>
        <v>885.822</v>
      </c>
      <c r="H267" s="294">
        <f t="shared" si="16"/>
        <v>4614.1779999999999</v>
      </c>
      <c r="I267" s="294">
        <f>2290.73644</f>
        <v>2290.7364400000001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13.4885</v>
      </c>
      <c r="G268" s="295">
        <f>G270+G269</f>
        <v>948.42998000000102</v>
      </c>
      <c r="H268" s="295">
        <f t="shared" si="16"/>
        <v>7051.5700199999992</v>
      </c>
      <c r="I268" s="295">
        <f>I270+I269</f>
        <v>1148.7663000000009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329.93919</f>
        <v>329.93919</v>
      </c>
      <c r="H269" s="284"/>
      <c r="I269" s="284">
        <f>447.82058</f>
        <v>447.82058000000001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13.4885</f>
        <v>13.4885</v>
      </c>
      <c r="G270" s="303">
        <f>618.490790000001</f>
        <v>618.49079000000097</v>
      </c>
      <c r="H270" s="303"/>
      <c r="I270" s="303">
        <f>700.945720000001</f>
        <v>700.94572000000096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0.43344</f>
        <v>0.43343999999999999</v>
      </c>
      <c r="G272" s="294">
        <f>5.60762</f>
        <v>5.6076199999999998</v>
      </c>
      <c r="H272" s="294">
        <f>E272-G272</f>
        <v>-5.6076199999999998</v>
      </c>
      <c r="I272" s="294">
        <f>4.13828</f>
        <v>4.13828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183.17094</v>
      </c>
      <c r="G273" s="312">
        <f t="shared" si="17"/>
        <v>3297.8857100000009</v>
      </c>
      <c r="H273" s="312">
        <f>H262+H267+H268+H271+H272</f>
        <v>29055.114290000001</v>
      </c>
      <c r="I273" s="312">
        <f t="shared" si="17"/>
        <v>6470.3057000000008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1023.43038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779.14308</f>
        <v>779.14308000000005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646.33609999999999</v>
      </c>
      <c r="G297" s="82">
        <f>D297-F297</f>
        <v>132.66390000000001</v>
      </c>
      <c r="H297" s="25">
        <f>SUM(H298:H299)</f>
        <v>991.08674999999994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507.208</f>
        <v>507.20800000000003</v>
      </c>
      <c r="G298" s="94"/>
      <c r="H298" s="29">
        <f>767.36623</f>
        <v>767.36622999999997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35.971600000000002</v>
      </c>
      <c r="F300" s="34">
        <f>SUM(F301:F302)</f>
        <v>440.13249000000002</v>
      </c>
      <c r="G300" s="82">
        <f>D300-F300</f>
        <v>339.86750999999998</v>
      </c>
      <c r="H300" s="34">
        <f>SUM(H301:H302)</f>
        <v>584.27405999999996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30.3835</f>
        <v>30.383500000000002</v>
      </c>
      <c r="F301" s="29">
        <f>315.60734</f>
        <v>315.60734000000002</v>
      </c>
      <c r="G301" s="94"/>
      <c r="H301" s="29">
        <f>391.75704</f>
        <v>391.75704000000002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5.5881</f>
        <v>5.5880999999999998</v>
      </c>
      <c r="F302" s="29">
        <f>124.52515</f>
        <v>124.52515</v>
      </c>
      <c r="G302" s="105"/>
      <c r="H302" s="29">
        <f>192.51702</f>
        <v>192.51702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35.971600000000002</v>
      </c>
      <c r="F304" s="39">
        <f>F294+F297+F300+F303</f>
        <v>2015.03252</v>
      </c>
      <c r="G304" s="40">
        <f>D304-F304</f>
        <v>322.96748000000002</v>
      </c>
      <c r="H304" s="39">
        <f>H294+H297+H300+H303</f>
        <v>2598.7911899999999</v>
      </c>
      <c r="I304" s="26"/>
      <c r="J304" s="127"/>
    </row>
    <row r="305" spans="1:10" ht="42" customHeight="1" x14ac:dyDescent="0.2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25">
      <c r="A322" s="223"/>
      <c r="B322" s="69"/>
      <c r="C322" s="236" t="s">
        <v>133</v>
      </c>
      <c r="D322" s="237">
        <v>238</v>
      </c>
      <c r="E322" s="29">
        <f>19.70953</f>
        <v>19.709530000000001</v>
      </c>
      <c r="F322" s="29">
        <f>169.5312</f>
        <v>169.53120000000001</v>
      </c>
      <c r="G322" s="238">
        <f>D322-F322</f>
        <v>68.468799999999987</v>
      </c>
      <c r="H322" s="29">
        <f>80.2173999999998</f>
        <v>80.217399999999799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3.91909</f>
        <v>3.9190900000000002</v>
      </c>
      <c r="F323" s="29">
        <f>253.811430000001</f>
        <v>253.811430000001</v>
      </c>
      <c r="G323" s="241">
        <f>D323-F323</f>
        <v>20983.188569999998</v>
      </c>
      <c r="H323" s="29">
        <f>266.058820000001</f>
        <v>266.05882000000099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23.628620000000002</v>
      </c>
      <c r="F324" s="39">
        <f>F323+F322</f>
        <v>423.34263000000101</v>
      </c>
      <c r="G324" s="39">
        <f>G323+G322</f>
        <v>21051.657369999997</v>
      </c>
      <c r="H324" s="39">
        <f>H323+H322</f>
        <v>346.27622000000076</v>
      </c>
      <c r="I324" s="26"/>
      <c r="J324" s="127"/>
    </row>
    <row r="325" spans="1:10" ht="22.5" customHeight="1" x14ac:dyDescent="0.2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20&amp;R18.05.2026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2026-05-18T09:02:39Z</dcterms:modified>
</cp:coreProperties>
</file>