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6\"/>
    </mc:Choice>
  </mc:AlternateContent>
  <xr:revisionPtr revIDLastSave="0" documentId="13_ncr:1_{B546768C-47AE-460A-B579-AA69C6CE02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6" i="1" l="1"/>
  <c r="E121" i="1"/>
  <c r="E120" i="1" s="1"/>
  <c r="E115" i="1"/>
  <c r="E137" i="1" s="1"/>
  <c r="H345" i="1"/>
  <c r="F345" i="1"/>
  <c r="E345" i="1"/>
  <c r="D345" i="1"/>
  <c r="G344" i="1"/>
  <c r="G345" i="1" s="1"/>
  <c r="G343" i="1"/>
  <c r="E336" i="1"/>
  <c r="F324" i="1"/>
  <c r="E324" i="1"/>
  <c r="D324" i="1"/>
  <c r="H323" i="1"/>
  <c r="H324" i="1" s="1"/>
  <c r="F323" i="1"/>
  <c r="G323" i="1" s="1"/>
  <c r="G324" i="1" s="1"/>
  <c r="E323" i="1"/>
  <c r="H322" i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H300" i="1" s="1"/>
  <c r="F301" i="1"/>
  <c r="E301" i="1"/>
  <c r="F300" i="1"/>
  <c r="G300" i="1" s="1"/>
  <c r="E300" i="1"/>
  <c r="H299" i="1"/>
  <c r="F299" i="1"/>
  <c r="E299" i="1"/>
  <c r="H298" i="1"/>
  <c r="F298" i="1"/>
  <c r="F297" i="1" s="1"/>
  <c r="G297" i="1" s="1"/>
  <c r="E298" i="1"/>
  <c r="E297" i="1" s="1"/>
  <c r="H297" i="1"/>
  <c r="H296" i="1"/>
  <c r="F296" i="1"/>
  <c r="F294" i="1" s="1"/>
  <c r="E296" i="1"/>
  <c r="E294" i="1" s="1"/>
  <c r="E304" i="1" s="1"/>
  <c r="H295" i="1"/>
  <c r="H294" i="1" s="1"/>
  <c r="H304" i="1" s="1"/>
  <c r="F295" i="1"/>
  <c r="E295" i="1"/>
  <c r="D273" i="1"/>
  <c r="I272" i="1"/>
  <c r="H272" i="1"/>
  <c r="G272" i="1"/>
  <c r="F272" i="1"/>
  <c r="I271" i="1"/>
  <c r="G271" i="1"/>
  <c r="H271" i="1" s="1"/>
  <c r="F271" i="1"/>
  <c r="I270" i="1"/>
  <c r="G270" i="1"/>
  <c r="G268" i="1" s="1"/>
  <c r="H268" i="1" s="1"/>
  <c r="F270" i="1"/>
  <c r="F268" i="1" s="1"/>
  <c r="I269" i="1"/>
  <c r="G269" i="1"/>
  <c r="F269" i="1"/>
  <c r="I268" i="1"/>
  <c r="I267" i="1"/>
  <c r="G267" i="1"/>
  <c r="H267" i="1" s="1"/>
  <c r="F267" i="1"/>
  <c r="I266" i="1"/>
  <c r="I262" i="1" s="1"/>
  <c r="I273" i="1" s="1"/>
  <c r="H266" i="1"/>
  <c r="G266" i="1"/>
  <c r="F266" i="1"/>
  <c r="I265" i="1"/>
  <c r="G265" i="1"/>
  <c r="H265" i="1" s="1"/>
  <c r="F265" i="1"/>
  <c r="I264" i="1"/>
  <c r="G264" i="1"/>
  <c r="H264" i="1" s="1"/>
  <c r="F264" i="1"/>
  <c r="I263" i="1"/>
  <c r="G263" i="1"/>
  <c r="H263" i="1" s="1"/>
  <c r="F263" i="1"/>
  <c r="F262" i="1"/>
  <c r="E262" i="1"/>
  <c r="E273" i="1" s="1"/>
  <c r="D262" i="1"/>
  <c r="H254" i="1"/>
  <c r="F254" i="1"/>
  <c r="D241" i="1"/>
  <c r="H240" i="1"/>
  <c r="F240" i="1"/>
  <c r="G240" i="1" s="1"/>
  <c r="E240" i="1"/>
  <c r="E241" i="1" s="1"/>
  <c r="H239" i="1"/>
  <c r="G239" i="1"/>
  <c r="F239" i="1"/>
  <c r="E239" i="1"/>
  <c r="H238" i="1"/>
  <c r="G238" i="1"/>
  <c r="F238" i="1"/>
  <c r="E238" i="1"/>
  <c r="H237" i="1"/>
  <c r="H241" i="1" s="1"/>
  <c r="F237" i="1"/>
  <c r="F241" i="1" s="1"/>
  <c r="E237" i="1"/>
  <c r="E219" i="1"/>
  <c r="D219" i="1"/>
  <c r="H218" i="1"/>
  <c r="F218" i="1"/>
  <c r="G218" i="1" s="1"/>
  <c r="E218" i="1"/>
  <c r="H217" i="1"/>
  <c r="F217" i="1"/>
  <c r="E217" i="1"/>
  <c r="H216" i="1"/>
  <c r="H215" i="1" s="1"/>
  <c r="H219" i="1" s="1"/>
  <c r="F216" i="1"/>
  <c r="E216" i="1"/>
  <c r="F215" i="1"/>
  <c r="G215" i="1" s="1"/>
  <c r="E215" i="1"/>
  <c r="D206" i="1"/>
  <c r="H205" i="1"/>
  <c r="F205" i="1"/>
  <c r="G205" i="1" s="1"/>
  <c r="E205" i="1"/>
  <c r="H204" i="1"/>
  <c r="F204" i="1"/>
  <c r="E204" i="1"/>
  <c r="E202" i="1" s="1"/>
  <c r="E206" i="1" s="1"/>
  <c r="H203" i="1"/>
  <c r="H202" i="1" s="1"/>
  <c r="H206" i="1" s="1"/>
  <c r="F203" i="1"/>
  <c r="F202" i="1" s="1"/>
  <c r="E203" i="1"/>
  <c r="E192" i="1"/>
  <c r="D192" i="1"/>
  <c r="I191" i="1"/>
  <c r="H191" i="1"/>
  <c r="G191" i="1"/>
  <c r="F191" i="1"/>
  <c r="I190" i="1"/>
  <c r="H190" i="1"/>
  <c r="G190" i="1"/>
  <c r="F190" i="1"/>
  <c r="I189" i="1"/>
  <c r="I192" i="1" s="1"/>
  <c r="G189" i="1"/>
  <c r="H189" i="1" s="1"/>
  <c r="F189" i="1"/>
  <c r="F192" i="1" s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F163" i="1" s="1"/>
  <c r="G163" i="1" s="1"/>
  <c r="E165" i="1"/>
  <c r="E163" i="1" s="1"/>
  <c r="E169" i="1" s="1"/>
  <c r="H164" i="1"/>
  <c r="H163" i="1" s="1"/>
  <c r="F164" i="1"/>
  <c r="E164" i="1"/>
  <c r="H162" i="1"/>
  <c r="F162" i="1"/>
  <c r="G162" i="1" s="1"/>
  <c r="E162" i="1"/>
  <c r="H161" i="1"/>
  <c r="H169" i="1" s="1"/>
  <c r="F161" i="1"/>
  <c r="F169" i="1" s="1"/>
  <c r="E161" i="1"/>
  <c r="H160" i="1"/>
  <c r="F160" i="1"/>
  <c r="G160" i="1" s="1"/>
  <c r="E160" i="1"/>
  <c r="I135" i="1"/>
  <c r="G135" i="1"/>
  <c r="H135" i="1" s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H130" i="1"/>
  <c r="G130" i="1"/>
  <c r="F130" i="1"/>
  <c r="I129" i="1"/>
  <c r="G129" i="1"/>
  <c r="H129" i="1" s="1"/>
  <c r="F129" i="1"/>
  <c r="I128" i="1"/>
  <c r="G128" i="1"/>
  <c r="H128" i="1" s="1"/>
  <c r="F128" i="1"/>
  <c r="F126" i="1" s="1"/>
  <c r="I127" i="1"/>
  <c r="I126" i="1" s="1"/>
  <c r="H127" i="1"/>
  <c r="H126" i="1" s="1"/>
  <c r="G127" i="1"/>
  <c r="G126" i="1" s="1"/>
  <c r="F127" i="1"/>
  <c r="D126" i="1"/>
  <c r="I125" i="1"/>
  <c r="G125" i="1"/>
  <c r="H125" i="1" s="1"/>
  <c r="F125" i="1"/>
  <c r="I124" i="1"/>
  <c r="I121" i="1" s="1"/>
  <c r="H124" i="1"/>
  <c r="G124" i="1"/>
  <c r="G121" i="1" s="1"/>
  <c r="F124" i="1"/>
  <c r="I123" i="1"/>
  <c r="H123" i="1"/>
  <c r="G123" i="1"/>
  <c r="F123" i="1"/>
  <c r="I122" i="1"/>
  <c r="G122" i="1"/>
  <c r="H122" i="1" s="1"/>
  <c r="F122" i="1"/>
  <c r="F121" i="1"/>
  <c r="D121" i="1"/>
  <c r="D120" i="1"/>
  <c r="D137" i="1" s="1"/>
  <c r="I119" i="1"/>
  <c r="G119" i="1"/>
  <c r="H119" i="1" s="1"/>
  <c r="F119" i="1"/>
  <c r="I118" i="1"/>
  <c r="I115" i="1" s="1"/>
  <c r="H118" i="1"/>
  <c r="G118" i="1"/>
  <c r="G115" i="1" s="1"/>
  <c r="F118" i="1"/>
  <c r="I117" i="1"/>
  <c r="H117" i="1"/>
  <c r="G117" i="1"/>
  <c r="F117" i="1"/>
  <c r="I116" i="1"/>
  <c r="G116" i="1"/>
  <c r="H116" i="1" s="1"/>
  <c r="H115" i="1" s="1"/>
  <c r="F116" i="1"/>
  <c r="F115" i="1"/>
  <c r="D115" i="1"/>
  <c r="C113" i="1"/>
  <c r="I93" i="1"/>
  <c r="G93" i="1"/>
  <c r="H93" i="1" s="1"/>
  <c r="F93" i="1"/>
  <c r="I92" i="1"/>
  <c r="H92" i="1"/>
  <c r="G92" i="1"/>
  <c r="F92" i="1"/>
  <c r="I91" i="1"/>
  <c r="G91" i="1"/>
  <c r="H91" i="1" s="1"/>
  <c r="F91" i="1"/>
  <c r="I90" i="1"/>
  <c r="H90" i="1"/>
  <c r="G90" i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F83" i="1" s="1"/>
  <c r="F82" i="1" s="1"/>
  <c r="I85" i="1"/>
  <c r="I83" i="1" s="1"/>
  <c r="I82" i="1" s="1"/>
  <c r="H85" i="1"/>
  <c r="G85" i="1"/>
  <c r="F85" i="1"/>
  <c r="I84" i="1"/>
  <c r="G84" i="1"/>
  <c r="H84" i="1" s="1"/>
  <c r="H83" i="1" s="1"/>
  <c r="H82" i="1" s="1"/>
  <c r="F84" i="1"/>
  <c r="E83" i="1"/>
  <c r="E82" i="1" s="1"/>
  <c r="E94" i="1" s="1"/>
  <c r="D83" i="1"/>
  <c r="D82" i="1" s="1"/>
  <c r="D94" i="1" s="1"/>
  <c r="I81" i="1"/>
  <c r="G81" i="1"/>
  <c r="G79" i="1" s="1"/>
  <c r="F81" i="1"/>
  <c r="F79" i="1" s="1"/>
  <c r="I80" i="1"/>
  <c r="G80" i="1"/>
  <c r="H80" i="1" s="1"/>
  <c r="F80" i="1"/>
  <c r="I79" i="1"/>
  <c r="E79" i="1"/>
  <c r="D79" i="1"/>
  <c r="C76" i="1"/>
  <c r="H72" i="1"/>
  <c r="F72" i="1"/>
  <c r="D72" i="1"/>
  <c r="H58" i="1"/>
  <c r="H57" i="1"/>
  <c r="I52" i="1"/>
  <c r="I31" i="1" s="1"/>
  <c r="I26" i="1" s="1"/>
  <c r="G52" i="1"/>
  <c r="H52" i="1" s="1"/>
  <c r="F52" i="1"/>
  <c r="F31" i="1" s="1"/>
  <c r="I41" i="1"/>
  <c r="H41" i="1"/>
  <c r="G41" i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H36" i="1"/>
  <c r="G36" i="1"/>
  <c r="F36" i="1"/>
  <c r="I35" i="1"/>
  <c r="G35" i="1"/>
  <c r="H35" i="1" s="1"/>
  <c r="F35" i="1"/>
  <c r="I34" i="1"/>
  <c r="G34" i="1"/>
  <c r="H34" i="1" s="1"/>
  <c r="F34" i="1"/>
  <c r="I33" i="1"/>
  <c r="I25" i="1" s="1"/>
  <c r="G33" i="1"/>
  <c r="F33" i="1"/>
  <c r="E33" i="1"/>
  <c r="D33" i="1"/>
  <c r="I32" i="1"/>
  <c r="G32" i="1"/>
  <c r="H32" i="1" s="1"/>
  <c r="F32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F27" i="1"/>
  <c r="F26" i="1" s="1"/>
  <c r="E26" i="1"/>
  <c r="E25" i="1" s="1"/>
  <c r="E42" i="1" s="1"/>
  <c r="D26" i="1"/>
  <c r="D25" i="1"/>
  <c r="I24" i="1"/>
  <c r="I22" i="1" s="1"/>
  <c r="G24" i="1"/>
  <c r="G22" i="1" s="1"/>
  <c r="F24" i="1"/>
  <c r="F22" i="1" s="1"/>
  <c r="I23" i="1"/>
  <c r="G23" i="1"/>
  <c r="H23" i="1" s="1"/>
  <c r="F23" i="1"/>
  <c r="E22" i="1"/>
  <c r="D22" i="1"/>
  <c r="D42" i="1" s="1"/>
  <c r="H16" i="1"/>
  <c r="F16" i="1"/>
  <c r="D16" i="1"/>
  <c r="F304" i="1" l="1"/>
  <c r="G294" i="1"/>
  <c r="I94" i="1"/>
  <c r="G206" i="1"/>
  <c r="G241" i="1"/>
  <c r="G26" i="1"/>
  <c r="H262" i="1"/>
  <c r="H273" i="1" s="1"/>
  <c r="I120" i="1"/>
  <c r="I137" i="1" s="1"/>
  <c r="F25" i="1"/>
  <c r="F42" i="1" s="1"/>
  <c r="G25" i="1"/>
  <c r="G42" i="1" s="1"/>
  <c r="G120" i="1"/>
  <c r="G137" i="1" s="1"/>
  <c r="F94" i="1"/>
  <c r="F273" i="1"/>
  <c r="G202" i="1"/>
  <c r="F206" i="1"/>
  <c r="I42" i="1"/>
  <c r="H192" i="1"/>
  <c r="H137" i="1"/>
  <c r="G169" i="1"/>
  <c r="G304" i="1"/>
  <c r="F120" i="1"/>
  <c r="F137" i="1" s="1"/>
  <c r="H121" i="1"/>
  <c r="H120" i="1" s="1"/>
  <c r="H24" i="1"/>
  <c r="H22" i="1" s="1"/>
  <c r="G262" i="1"/>
  <c r="G273" i="1" s="1"/>
  <c r="H27" i="1"/>
  <c r="G31" i="1"/>
  <c r="H31" i="1" s="1"/>
  <c r="G83" i="1"/>
  <c r="G82" i="1" s="1"/>
  <c r="G94" i="1" s="1"/>
  <c r="F219" i="1"/>
  <c r="G219" i="1" s="1"/>
  <c r="G192" i="1"/>
  <c r="G237" i="1"/>
  <c r="H33" i="1"/>
  <c r="H81" i="1"/>
  <c r="H79" i="1" s="1"/>
  <c r="H94" i="1" s="1"/>
  <c r="H26" i="1" l="1"/>
  <c r="H25" i="1" s="1"/>
  <c r="H42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<sst xmlns="http://schemas.openxmlformats.org/spreadsheetml/2006/main" count="391" uniqueCount="166">
  <si>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</si>
  <si>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</si>
  <si>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</si>
  <si>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</si>
  <si>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</si>
  <si>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</si>
  <si>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</si>
  <si>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</si>
  <si>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</si>
  <si>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</si>
  <si>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</si>
  <si>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</si>
  <si>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</si>
  <si>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</si>
  <si>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</si>
  <si>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</si>
  <si>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</si>
  <si>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</si>
  <si>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</si>
  <si>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</si>
  <si>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</si>
  <si>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</si>
  <si>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</si>
  <si>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</si>
  <si>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</si>
  <si>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</si>
  <si>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</si>
  <si>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</si>
  <si>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</si>
  <si>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</si>
  <si>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</si>
  <si>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</si>
  <si>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</si>
  <si>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</si>
  <si>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</si>
  <si>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</si>
  <si>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</si>
  <si>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</si>
  <si>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</si>
  <si>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</si>
  <si>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</si>
  <si>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</si>
  <si>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</si>
  <si>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</si>
  <si>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</si>
  <si>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</si>
  <si>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</si>
  <si>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</si>
  <si>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</si>
  <si>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</si>
  <si>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</si>
  <si>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</si>
  <si>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</si>
  <si>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</si>
  <si>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</si>
  <si>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</si>
  <si>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</si>
  <si>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</si>
  <si>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</si>
  <si>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</si>
  <si>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</si>
  <si>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</si>
  <si>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</si>
  <si>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</si>
  <si>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</si>
  <si>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</si>
  <si>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</si>
  <si>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</si>
  <si>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</si>
  <si>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</si>
  <si>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</si>
  <si>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</si>
  <si>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</si>
  <si>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</si>
  <si>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</si>
  <si>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</si>
  <si>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</si>
  <si>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</si>
  <si>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</si>
  <si>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</si>
  <si>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</si>
  <si>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</si>
  <si>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</si>
  <si>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</si>
  <si>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</si>
  <si>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</si>
  <si>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</si>
  <si>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</si>
  <si>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</si>
  <si>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</si>
  <si>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</si>
  <si>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</si>
  <si>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</si>
  <si>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</si>
  <si>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</si>
  <si>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</si>
  <si>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</si>
  <si>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</si>
  <si>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</si>
  <si>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</si>
  <si>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</si>
  <si>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</si>
  <si>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</si>
  <si>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</si>
  <si>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</si>
  <si>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</si>
  <si>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</si>
  <si>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</si>
  <si>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</si>
  <si>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</si>
  <si>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</si>
  <si>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</si>
  <si>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</si>
  <si>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</si>
  <si>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</si>
  <si>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</si>
  <si>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</si>
  <si>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</si>
  <si>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</si>
  <si>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</si>
  <si>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</si>
  <si>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</si>
  <si>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</si>
  <si>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</si>
  <si>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</si>
  <si>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</si>
  <si>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</si>
  <si>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</si>
  <si>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</si>
  <si>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</si>
  <si>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</si>
  <si>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</si>
  <si>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</si>
  <si>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</si>
  <si>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</si>
  <si>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</si>
  <si>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</si>
  <si>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</si>
  <si>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</si>
  <si>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</si>
  <si>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</si>
  <si>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</si>
  <si>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</si>
  <si>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</si>
  <si>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</si>
  <si>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</si>
  <si>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</si>
  <si>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</si>
  <si>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</si>
  <si>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</si>
  <si>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</si>
  <si>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</si>
  <si>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</si>
  <si>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</si>
  <si>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</si>
  <si>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</si>
  <si>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</si>
  <si>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</si>
  <si>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6 tonn, men det legges til grunn at hele avsetningen tas</t>
  </si>
  <si>
    <t>4 Registrert rekreasjonsfiske utgjør 31 tonn, men det legges til grunn at hele avsetningen tas</t>
  </si>
  <si>
    <t>3 Registrert rekreasjonsfiske utgjør 71 tonn, men det legges til grunn at hele avsetningen tas</t>
  </si>
  <si>
    <t>FANGST UKE 6</t>
  </si>
  <si>
    <t>FANGST T.O.M UKE 6</t>
  </si>
  <si>
    <t>RESTKVOTER UKE 6</t>
  </si>
  <si>
    <t>FANGST T.O.M UKE 6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</si>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</sst>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sz val="8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3" fontId="30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4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view="pageLayout" topLeftCell="A327" zoomScale="85" zoomScaleNormal="55" zoomScaleSheetLayoutView="100" zoomScalePageLayoutView="85" workbookViewId="0">
      <selection activeCell="E65520" sqref="E65520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17" t="s">
        <v>139</v>
      </c>
      <c r="C2" s="318"/>
      <c r="D2" s="318"/>
      <c r="E2" s="318"/>
      <c r="F2" s="318"/>
      <c r="G2" s="318"/>
      <c r="H2" s="318"/>
      <c r="I2" s="318"/>
      <c r="J2" s="319"/>
    </row>
    <row r="3" spans="1:10" ht="14.85" customHeight="1" x14ac:dyDescent="0.2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20"/>
      <c r="C9" s="321"/>
      <c r="D9" s="321"/>
      <c r="E9" s="321"/>
      <c r="F9" s="321"/>
      <c r="G9" s="321"/>
      <c r="H9" s="321"/>
      <c r="I9" s="321"/>
      <c r="J9" s="322"/>
    </row>
    <row r="10" spans="1:10" ht="12" customHeight="1" x14ac:dyDescent="0.2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323" t="s">
        <v>1</v>
      </c>
      <c r="D11" s="324"/>
      <c r="E11" s="323" t="s">
        <v>2</v>
      </c>
      <c r="F11" s="324"/>
      <c r="G11" s="323" t="s">
        <v>3</v>
      </c>
      <c r="H11" s="324"/>
      <c r="I11" s="173"/>
      <c r="J11" s="271"/>
    </row>
    <row r="12" spans="1:10" ht="14.1" customHeight="1" x14ac:dyDescent="0.2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2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2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2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" customHeight="1" x14ac:dyDescent="0.2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25">
      <c r="A17" s="101"/>
      <c r="B17" s="24"/>
      <c r="C17" s="329"/>
      <c r="D17" s="329"/>
      <c r="E17" s="329"/>
      <c r="F17" s="329"/>
      <c r="G17" s="329"/>
      <c r="H17" s="329"/>
      <c r="I17" s="101"/>
      <c r="J17" s="157"/>
    </row>
    <row r="18" spans="1:10" ht="15" customHeight="1" x14ac:dyDescent="0.2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2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2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" customHeight="1" x14ac:dyDescent="0.25">
      <c r="A22" s="1"/>
      <c r="B22" s="281"/>
      <c r="C22" s="15" t="s">
        <v>19</v>
      </c>
      <c r="D22" s="27">
        <f>D23+D24</f>
        <v>32535</v>
      </c>
      <c r="E22" s="27">
        <f>E23+E24</f>
        <v>0</v>
      </c>
      <c r="F22" s="27">
        <f t="shared" ref="F22:I22" si="0">F24+F23</f>
        <v>398.77050000000003</v>
      </c>
      <c r="G22" s="27">
        <f t="shared" si="0"/>
        <v>2703.1694000000002</v>
      </c>
      <c r="H22" s="10">
        <f>H24+H23</f>
        <v>29831.830600000001</v>
      </c>
      <c r="I22" s="10">
        <f t="shared" si="0"/>
        <v>5807.9362199999996</v>
      </c>
      <c r="J22" s="271"/>
    </row>
    <row r="23" spans="1:10" ht="14.1" customHeight="1" x14ac:dyDescent="0.25">
      <c r="A23" s="1"/>
      <c r="B23" s="281"/>
      <c r="C23" s="43" t="s">
        <v>20</v>
      </c>
      <c r="D23" s="44">
        <v>31785</v>
      </c>
      <c r="E23" s="44"/>
      <c r="F23" s="22">
        <f>398.7705</f>
        <v>398.77050000000003</v>
      </c>
      <c r="G23" s="22">
        <f>2703.1694</f>
        <v>2703.1694000000002</v>
      </c>
      <c r="H23" s="22">
        <f>D23-G23</f>
        <v>29081.830600000001</v>
      </c>
      <c r="I23" s="22">
        <f>5759.42472</f>
        <v>5759.42472</v>
      </c>
      <c r="J23" s="271"/>
    </row>
    <row r="24" spans="1:10" ht="14.1" customHeight="1" x14ac:dyDescent="0.25">
      <c r="A24" s="1"/>
      <c r="B24" s="281"/>
      <c r="C24" s="47" t="s">
        <v>21</v>
      </c>
      <c r="D24" s="218">
        <v>750</v>
      </c>
      <c r="E24" s="218"/>
      <c r="F24" s="165">
        <f>0</f>
        <v>0</v>
      </c>
      <c r="G24" s="22">
        <f>0</f>
        <v>0</v>
      </c>
      <c r="H24" s="22">
        <f>D24-G24</f>
        <v>750</v>
      </c>
      <c r="I24" s="22">
        <f>48.5115</f>
        <v>48.511499999999998</v>
      </c>
      <c r="J24" s="271"/>
    </row>
    <row r="25" spans="1:10" ht="14.1" customHeight="1" x14ac:dyDescent="0.25">
      <c r="A25" s="1"/>
      <c r="B25" s="281"/>
      <c r="C25" s="15" t="s">
        <v>22</v>
      </c>
      <c r="D25" s="27">
        <f>D26+D32+D33</f>
        <v>95462</v>
      </c>
      <c r="E25" s="27">
        <f>E26+E32+E33</f>
        <v>0</v>
      </c>
      <c r="F25" s="27">
        <f t="shared" ref="F25:I25" si="1">F33+F32+F26</f>
        <v>4016.9064500000004</v>
      </c>
      <c r="G25" s="10">
        <f t="shared" si="1"/>
        <v>12985.117020000002</v>
      </c>
      <c r="H25" s="10">
        <f t="shared" si="1"/>
        <v>82476.882979999995</v>
      </c>
      <c r="I25" s="10">
        <f t="shared" si="1"/>
        <v>9475.4241299999994</v>
      </c>
      <c r="J25" s="271"/>
    </row>
    <row r="26" spans="1:10" ht="15" customHeight="1" x14ac:dyDescent="0.25">
      <c r="A26" s="49"/>
      <c r="B26" s="51"/>
      <c r="C26" s="54" t="s">
        <v>23</v>
      </c>
      <c r="D26" s="55">
        <f>D27+D28+D29+D30+D31</f>
        <v>75488</v>
      </c>
      <c r="E26" s="55">
        <f>E27+E28+E29+E30+E31</f>
        <v>0</v>
      </c>
      <c r="F26" s="129">
        <f>F27+F28+F29+F30+F31</f>
        <v>3366.9708500000002</v>
      </c>
      <c r="G26" s="129">
        <f>G27+G28+G29+G30+G31</f>
        <v>10536.362430000001</v>
      </c>
      <c r="H26" s="129">
        <f t="shared" ref="H26:I26" si="2">H27+H28+H29+H30+H31</f>
        <v>64951.637569999999</v>
      </c>
      <c r="I26" s="129">
        <f t="shared" si="2"/>
        <v>6717.9259099999999</v>
      </c>
      <c r="J26" s="271"/>
    </row>
    <row r="27" spans="1:10" ht="14.1" customHeight="1" x14ac:dyDescent="0.25">
      <c r="A27" s="192"/>
      <c r="B27" s="176"/>
      <c r="C27" s="60" t="s">
        <v>24</v>
      </c>
      <c r="D27" s="61">
        <v>19164</v>
      </c>
      <c r="E27" s="61"/>
      <c r="F27" s="209">
        <f>896.88693 - F53</f>
        <v>896.88693000000001</v>
      </c>
      <c r="G27" s="123">
        <f>2775.98405 - G53</f>
        <v>2775.98405</v>
      </c>
      <c r="H27" s="123">
        <f t="shared" ref="H27:H41" si="3">D27-G27</f>
        <v>16388.015950000001</v>
      </c>
      <c r="I27" s="123">
        <f>1372.64129 - I53</f>
        <v>1372.64129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19036</v>
      </c>
      <c r="E28" s="61"/>
      <c r="F28" s="123">
        <f>953.34882 - F54</f>
        <v>953.34882000000005</v>
      </c>
      <c r="G28" s="123">
        <f>4018.31797 - G54</f>
        <v>4018.3179700000001</v>
      </c>
      <c r="H28" s="123">
        <f t="shared" si="3"/>
        <v>15017.68203</v>
      </c>
      <c r="I28" s="123">
        <f>2764.49167 - I54</f>
        <v>2764.4916699999999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17407</v>
      </c>
      <c r="E29" s="61"/>
      <c r="F29" s="123">
        <f>829.41221 - F55</f>
        <v>829.41220999999996</v>
      </c>
      <c r="G29" s="123">
        <f>2362.30086 - G55</f>
        <v>2362.3008599999998</v>
      </c>
      <c r="H29" s="123">
        <f t="shared" si="3"/>
        <v>15044.699140000001</v>
      </c>
      <c r="I29" s="123">
        <f>1932.0643 - I55</f>
        <v>1932.0643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12796</v>
      </c>
      <c r="E30" s="61"/>
      <c r="F30" s="123">
        <f>687.32289 - F56</f>
        <v>687.32289000000003</v>
      </c>
      <c r="G30" s="123">
        <f>1379.75955 - G56</f>
        <v>1379.75955</v>
      </c>
      <c r="H30" s="123">
        <f t="shared" si="3"/>
        <v>11416.240449999999</v>
      </c>
      <c r="I30" s="123">
        <f>648.72865 - I56</f>
        <v>648.72865000000002</v>
      </c>
      <c r="J30" s="63"/>
    </row>
    <row r="31" spans="1:10" ht="14.1" customHeight="1" x14ac:dyDescent="0.25">
      <c r="A31" s="192"/>
      <c r="B31" s="176"/>
      <c r="C31" s="60" t="s">
        <v>137</v>
      </c>
      <c r="D31" s="61">
        <v>7085</v>
      </c>
      <c r="E31" s="61"/>
      <c r="F31" s="123">
        <f>F52</f>
        <v>0</v>
      </c>
      <c r="G31" s="123">
        <f>G52</f>
        <v>0</v>
      </c>
      <c r="H31" s="123">
        <f t="shared" si="3"/>
        <v>7085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28</v>
      </c>
      <c r="D32" s="55">
        <v>10717</v>
      </c>
      <c r="E32" s="55"/>
      <c r="F32" s="129">
        <f>408.40832</f>
        <v>408.40832</v>
      </c>
      <c r="G32" s="129">
        <f>1432.50162</f>
        <v>1432.50162</v>
      </c>
      <c r="H32" s="129">
        <f t="shared" si="3"/>
        <v>9284.4983800000009</v>
      </c>
      <c r="I32" s="129">
        <f>2207.25269</f>
        <v>2207.2526899999998</v>
      </c>
      <c r="J32" s="63"/>
    </row>
    <row r="33" spans="1:10" ht="14.1" customHeight="1" x14ac:dyDescent="0.25">
      <c r="A33" s="64"/>
      <c r="B33" s="51"/>
      <c r="C33" s="54" t="s">
        <v>29</v>
      </c>
      <c r="D33" s="55">
        <f>D34+D35</f>
        <v>9257</v>
      </c>
      <c r="E33" s="55">
        <f>E34+E35</f>
        <v>0</v>
      </c>
      <c r="F33" s="129">
        <f>F34+F35</f>
        <v>241.52728000000002</v>
      </c>
      <c r="G33" s="129">
        <f>G34+G35</f>
        <v>1016.25297</v>
      </c>
      <c r="H33" s="129">
        <f t="shared" si="3"/>
        <v>8240.7470300000004</v>
      </c>
      <c r="I33" s="129">
        <f>I34+I35</f>
        <v>550.24553000000003</v>
      </c>
      <c r="J33" s="63"/>
    </row>
    <row r="34" spans="1:10" ht="14.1" customHeight="1" x14ac:dyDescent="0.25">
      <c r="A34" s="192"/>
      <c r="B34" s="176"/>
      <c r="C34" s="60" t="s">
        <v>30</v>
      </c>
      <c r="D34" s="61">
        <v>8392</v>
      </c>
      <c r="E34" s="61"/>
      <c r="F34" s="123">
        <f>266.52728 - F57 - F58</f>
        <v>241.52728000000002</v>
      </c>
      <c r="G34" s="129">
        <f>1098.25297 - G57 - G58</f>
        <v>1016.25297</v>
      </c>
      <c r="H34" s="123">
        <f t="shared" si="3"/>
        <v>7375.7470300000004</v>
      </c>
      <c r="I34" s="123">
        <f>550.24553 - I57 - I58</f>
        <v>550.24553000000003</v>
      </c>
      <c r="J34" s="63"/>
    </row>
    <row r="35" spans="1:10" ht="14.1" customHeight="1" x14ac:dyDescent="0.25">
      <c r="A35" s="192"/>
      <c r="B35" s="176"/>
      <c r="C35" s="66" t="s">
        <v>31</v>
      </c>
      <c r="D35" s="220">
        <v>865</v>
      </c>
      <c r="E35" s="220"/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25">
      <c r="A36" s="1"/>
      <c r="B36" s="281"/>
      <c r="C36" s="70" t="s">
        <v>32</v>
      </c>
      <c r="D36" s="140">
        <v>500</v>
      </c>
      <c r="E36" s="140"/>
      <c r="F36" s="136">
        <f>18.776</f>
        <v>18.776</v>
      </c>
      <c r="G36" s="136">
        <f>18.776</f>
        <v>18.776</v>
      </c>
      <c r="H36" s="136">
        <f t="shared" si="3"/>
        <v>481.22399999999999</v>
      </c>
      <c r="I36" s="136">
        <f>13.625</f>
        <v>13.625</v>
      </c>
      <c r="J36" s="271"/>
    </row>
    <row r="37" spans="1:10" ht="14.1" customHeight="1" x14ac:dyDescent="0.25">
      <c r="A37" s="1"/>
      <c r="B37" s="281"/>
      <c r="C37" s="70" t="s">
        <v>33</v>
      </c>
      <c r="D37" s="140">
        <v>880</v>
      </c>
      <c r="E37" s="140"/>
      <c r="F37" s="95">
        <f>12.01515</f>
        <v>12.01515</v>
      </c>
      <c r="G37" s="95">
        <f>69.89795</f>
        <v>69.897949999999994</v>
      </c>
      <c r="H37" s="95">
        <f t="shared" si="3"/>
        <v>810.10204999999996</v>
      </c>
      <c r="I37" s="95">
        <f>39.33451</f>
        <v>39.334510000000002</v>
      </c>
      <c r="J37" s="271"/>
    </row>
    <row r="38" spans="1:10" ht="17.25" customHeight="1" x14ac:dyDescent="0.25">
      <c r="A38" s="1"/>
      <c r="B38" s="281"/>
      <c r="C38" s="70" t="s">
        <v>34</v>
      </c>
      <c r="D38" s="140">
        <v>3000</v>
      </c>
      <c r="E38" s="140"/>
      <c r="F38" s="95">
        <f>F58</f>
        <v>25</v>
      </c>
      <c r="G38" s="95">
        <f>G58</f>
        <v>82</v>
      </c>
      <c r="H38" s="95">
        <f t="shared" si="3"/>
        <v>2918</v>
      </c>
      <c r="I38" s="95">
        <f>I58</f>
        <v>0</v>
      </c>
      <c r="J38" s="271"/>
    </row>
    <row r="39" spans="1:10" ht="17.25" customHeight="1" x14ac:dyDescent="0.25">
      <c r="A39" s="1"/>
      <c r="B39" s="281"/>
      <c r="C39" s="70" t="s">
        <v>35</v>
      </c>
      <c r="D39" s="140">
        <v>7000</v>
      </c>
      <c r="E39" s="140"/>
      <c r="F39" s="95">
        <f>25.48445</f>
        <v>25.484449999999999</v>
      </c>
      <c r="G39" s="95">
        <f>E39</f>
        <v>0</v>
      </c>
      <c r="H39" s="95">
        <f t="shared" si="3"/>
        <v>7000</v>
      </c>
      <c r="I39" s="95">
        <f>E39</f>
        <v>0</v>
      </c>
      <c r="J39" s="271"/>
    </row>
    <row r="40" spans="1:10" ht="17.25" customHeight="1" x14ac:dyDescent="0.25">
      <c r="A40" s="1"/>
      <c r="B40" s="281"/>
      <c r="C40" s="70" t="s">
        <v>37</v>
      </c>
      <c r="D40" s="140">
        <v>450</v>
      </c>
      <c r="E40" s="140"/>
      <c r="F40" s="95">
        <f>3.86533</f>
        <v>3.8653300000000002</v>
      </c>
      <c r="G40" s="95">
        <f>14.32133</f>
        <v>14.32133</v>
      </c>
      <c r="H40" s="95">
        <f t="shared" si="3"/>
        <v>435.67867000000001</v>
      </c>
      <c r="I40" s="95">
        <f>25.43508</f>
        <v>25.435079999999999</v>
      </c>
      <c r="J40" s="271"/>
    </row>
    <row r="41" spans="1:10" ht="14.1" customHeight="1" x14ac:dyDescent="0.25">
      <c r="A41" s="1"/>
      <c r="B41" s="281"/>
      <c r="C41" s="70" t="s">
        <v>38</v>
      </c>
      <c r="D41" s="140"/>
      <c r="E41" s="136"/>
      <c r="F41" s="136">
        <f>0.361</f>
        <v>0.36099999999999999</v>
      </c>
      <c r="G41" s="136">
        <f>18.142</f>
        <v>18.141999999999999</v>
      </c>
      <c r="H41" s="136">
        <f t="shared" si="3"/>
        <v>-18.141999999999999</v>
      </c>
      <c r="I41" s="136">
        <f>15.367</f>
        <v>15.367000000000001</v>
      </c>
      <c r="J41" s="271"/>
    </row>
    <row r="42" spans="1:10" ht="16.5" customHeight="1" x14ac:dyDescent="0.2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0</v>
      </c>
      <c r="F42" s="73">
        <f t="shared" ref="F42:I42" si="4">F22+F25+F36+F37+F38+F39+F40+F41</f>
        <v>4501.1788799999995</v>
      </c>
      <c r="G42" s="73">
        <f t="shared" si="4"/>
        <v>15891.423700000003</v>
      </c>
      <c r="H42" s="73">
        <f t="shared" si="4"/>
        <v>123935.57629999999</v>
      </c>
      <c r="I42" s="73">
        <f t="shared" si="4"/>
        <v>15377.121939999999</v>
      </c>
      <c r="J42" s="271"/>
    </row>
    <row r="43" spans="1:10" ht="14.1" customHeight="1" x14ac:dyDescent="0.2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" customHeight="1" x14ac:dyDescent="0.2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" customHeight="1" x14ac:dyDescent="0.2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25">
      <c r="A49" s="101"/>
      <c r="B49" s="24"/>
      <c r="C49" s="332" t="s">
        <v>138</v>
      </c>
      <c r="D49" s="332"/>
      <c r="E49" s="332"/>
      <c r="F49" s="332"/>
      <c r="G49" s="332"/>
      <c r="H49" s="332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" customHeight="1" x14ac:dyDescent="0.25">
      <c r="A52" s="101"/>
      <c r="B52" s="24"/>
      <c r="C52" s="15" t="s">
        <v>42</v>
      </c>
      <c r="D52" s="333">
        <v>7085</v>
      </c>
      <c r="E52" s="333"/>
      <c r="F52" s="10">
        <f>F56+F55+F54+F53</f>
        <v>0</v>
      </c>
      <c r="G52" s="10">
        <f>G56+G55+G54+G53</f>
        <v>0</v>
      </c>
      <c r="H52" s="333">
        <f>D52-G52</f>
        <v>7085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334"/>
      <c r="E53" s="334"/>
      <c r="F53" s="123"/>
      <c r="G53" s="123"/>
      <c r="H53" s="334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334"/>
      <c r="E54" s="334"/>
      <c r="F54" s="123"/>
      <c r="G54" s="123"/>
      <c r="H54" s="334"/>
      <c r="I54" s="123"/>
      <c r="J54" s="271"/>
    </row>
    <row r="55" spans="1:10" ht="14.1" customHeight="1" x14ac:dyDescent="0.25">
      <c r="A55" s="101"/>
      <c r="B55" s="24"/>
      <c r="C55" s="60" t="s">
        <v>26</v>
      </c>
      <c r="D55" s="334"/>
      <c r="E55" s="334"/>
      <c r="F55" s="123"/>
      <c r="G55" s="123"/>
      <c r="H55" s="334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335"/>
      <c r="E56" s="335"/>
      <c r="F56" s="186"/>
      <c r="G56" s="186"/>
      <c r="H56" s="335"/>
      <c r="I56" s="186"/>
      <c r="J56" s="117"/>
    </row>
    <row r="57" spans="1:10" ht="14.1" customHeight="1" x14ac:dyDescent="0.25">
      <c r="A57" s="101"/>
      <c r="B57" s="24"/>
      <c r="C57" s="85" t="s">
        <v>43</v>
      </c>
      <c r="D57" s="92">
        <v>865</v>
      </c>
      <c r="E57" s="92"/>
      <c r="F57" s="92"/>
      <c r="G57" s="92"/>
      <c r="H57" s="92">
        <f>D57-G57</f>
        <v>865</v>
      </c>
      <c r="I57" s="92"/>
      <c r="J57" s="271"/>
    </row>
    <row r="58" spans="1:10" ht="14.1" customHeight="1" x14ac:dyDescent="0.25">
      <c r="A58" s="101"/>
      <c r="B58" s="24"/>
      <c r="C58" s="139" t="s">
        <v>44</v>
      </c>
      <c r="D58" s="136">
        <v>3000</v>
      </c>
      <c r="E58" s="136"/>
      <c r="F58" s="136">
        <v>25</v>
      </c>
      <c r="G58" s="136">
        <v>82</v>
      </c>
      <c r="H58" s="136">
        <f>D58-G58</f>
        <v>2918</v>
      </c>
      <c r="I58" s="136"/>
      <c r="J58" s="117"/>
    </row>
    <row r="59" spans="1:10" ht="14.1" customHeight="1" x14ac:dyDescent="0.2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33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323" t="s">
        <v>1</v>
      </c>
      <c r="D68" s="324"/>
      <c r="E68" s="323" t="s">
        <v>2</v>
      </c>
      <c r="F68" s="336"/>
      <c r="G68" s="323" t="s">
        <v>3</v>
      </c>
      <c r="H68" s="324"/>
      <c r="I68" s="173"/>
      <c r="J68" s="271"/>
    </row>
    <row r="69" spans="1:10" ht="15" customHeight="1" x14ac:dyDescent="0.2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2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" customHeight="1" x14ac:dyDescent="0.2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2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2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2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" customHeight="1" x14ac:dyDescent="0.2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2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2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" customHeight="1" x14ac:dyDescent="0.25">
      <c r="A79" s="1"/>
      <c r="B79" s="281"/>
      <c r="C79" s="31" t="s">
        <v>19</v>
      </c>
      <c r="D79" s="27">
        <f>D80+D81</f>
        <v>28395</v>
      </c>
      <c r="E79" s="27">
        <f>E81+E80</f>
        <v>0</v>
      </c>
      <c r="F79" s="10">
        <f t="shared" ref="F79:I79" si="5">F81+F80</f>
        <v>412.64019999999999</v>
      </c>
      <c r="G79" s="10">
        <f t="shared" si="5"/>
        <v>1787.60592</v>
      </c>
      <c r="H79" s="10">
        <f t="shared" si="5"/>
        <v>26607.394079999998</v>
      </c>
      <c r="I79" s="10">
        <f t="shared" si="5"/>
        <v>1157.1541</v>
      </c>
      <c r="J79" s="271"/>
    </row>
    <row r="80" spans="1:10" ht="15" customHeight="1" x14ac:dyDescent="0.25">
      <c r="A80" s="1"/>
      <c r="B80" s="281"/>
      <c r="C80" s="43" t="s">
        <v>20</v>
      </c>
      <c r="D80" s="44">
        <v>27645</v>
      </c>
      <c r="E80" s="44"/>
      <c r="F80" s="22">
        <f>412.6402</f>
        <v>412.64019999999999</v>
      </c>
      <c r="G80" s="22">
        <f>1787.60592</f>
        <v>1787.60592</v>
      </c>
      <c r="H80" s="22">
        <f>D80-G80</f>
        <v>25857.394079999998</v>
      </c>
      <c r="I80" s="22">
        <f>1156.3379</f>
        <v>1156.3379</v>
      </c>
      <c r="J80" s="271"/>
    </row>
    <row r="81" spans="1:10" ht="14.1" customHeight="1" x14ac:dyDescent="0.25">
      <c r="A81" s="1"/>
      <c r="B81" s="281"/>
      <c r="C81" s="62" t="s">
        <v>21</v>
      </c>
      <c r="D81" s="218">
        <v>750</v>
      </c>
      <c r="E81" s="218"/>
      <c r="F81" s="48">
        <f>0</f>
        <v>0</v>
      </c>
      <c r="G81" s="48">
        <f>0</f>
        <v>0</v>
      </c>
      <c r="H81" s="48">
        <f>D81-G81</f>
        <v>750</v>
      </c>
      <c r="I81" s="48">
        <f>0.8162</f>
        <v>0.81620000000000004</v>
      </c>
      <c r="J81" s="271"/>
    </row>
    <row r="82" spans="1:10" ht="15.75" customHeight="1" x14ac:dyDescent="0.25">
      <c r="A82" s="1"/>
      <c r="B82" s="50"/>
      <c r="C82" s="15" t="s">
        <v>22</v>
      </c>
      <c r="D82" s="27">
        <f>D83+D88+D89</f>
        <v>47281</v>
      </c>
      <c r="E82" s="27">
        <f>E83+E88+E89</f>
        <v>0</v>
      </c>
      <c r="F82" s="10">
        <f t="shared" ref="F82:I82" si="6">F83+F88+F89</f>
        <v>822.84230000000002</v>
      </c>
      <c r="G82" s="10">
        <f t="shared" si="6"/>
        <v>3160.9373700000001</v>
      </c>
      <c r="H82" s="10">
        <f>H83+H88+H89</f>
        <v>44120.06263</v>
      </c>
      <c r="I82" s="10">
        <f t="shared" si="6"/>
        <v>3433.0265999999997</v>
      </c>
      <c r="J82" s="271"/>
    </row>
    <row r="83" spans="1:10" ht="14.1" customHeight="1" x14ac:dyDescent="0.25">
      <c r="A83" s="1"/>
      <c r="B83" s="51"/>
      <c r="C83" s="54" t="s">
        <v>23</v>
      </c>
      <c r="D83" s="55">
        <f>D84+D85+D86+D87</f>
        <v>35236</v>
      </c>
      <c r="E83" s="55">
        <f>E87+E86+E85+E84</f>
        <v>0</v>
      </c>
      <c r="F83" s="129">
        <f t="shared" ref="F83:I83" si="7">F84+F85+F86+F87</f>
        <v>463.93426999999997</v>
      </c>
      <c r="G83" s="129">
        <f t="shared" si="7"/>
        <v>2039.21757</v>
      </c>
      <c r="H83" s="129">
        <f t="shared" si="7"/>
        <v>33196.782429999999</v>
      </c>
      <c r="I83" s="129">
        <f t="shared" si="7"/>
        <v>2378.4247500000001</v>
      </c>
      <c r="J83" s="271"/>
    </row>
    <row r="84" spans="1:10" ht="14.1" customHeight="1" x14ac:dyDescent="0.25">
      <c r="A84" s="192"/>
      <c r="B84" s="176"/>
      <c r="C84" s="60" t="s">
        <v>24</v>
      </c>
      <c r="D84" s="61">
        <v>9425</v>
      </c>
      <c r="E84" s="61"/>
      <c r="F84" s="123">
        <f>174.7736</f>
        <v>174.77359999999999</v>
      </c>
      <c r="G84" s="123">
        <f>987.07426</f>
        <v>987.07425999999998</v>
      </c>
      <c r="H84" s="123">
        <f t="shared" ref="H84:H93" si="8">D84-G84</f>
        <v>8437.9257400000006</v>
      </c>
      <c r="I84" s="123">
        <f>1049.06164</f>
        <v>1049.0616399999999</v>
      </c>
      <c r="J84" s="271"/>
    </row>
    <row r="85" spans="1:10" ht="14.1" customHeight="1" x14ac:dyDescent="0.25">
      <c r="A85" s="192"/>
      <c r="B85" s="176"/>
      <c r="C85" s="60" t="s">
        <v>48</v>
      </c>
      <c r="D85" s="61">
        <v>9801</v>
      </c>
      <c r="E85" s="61"/>
      <c r="F85" s="123">
        <f>189.50438</f>
        <v>189.50438</v>
      </c>
      <c r="G85" s="123">
        <f>727.06188</f>
        <v>727.06187999999997</v>
      </c>
      <c r="H85" s="123">
        <f t="shared" si="8"/>
        <v>9073.9381200000007</v>
      </c>
      <c r="I85" s="123">
        <f>619.81771</f>
        <v>619.81771000000003</v>
      </c>
      <c r="J85" s="271"/>
    </row>
    <row r="86" spans="1:10" ht="14.1" customHeight="1" x14ac:dyDescent="0.25">
      <c r="A86" s="192"/>
      <c r="B86" s="176"/>
      <c r="C86" s="60" t="s">
        <v>49</v>
      </c>
      <c r="D86" s="61">
        <v>9599</v>
      </c>
      <c r="E86" s="61"/>
      <c r="F86" s="123">
        <f>73.57442</f>
        <v>73.574420000000003</v>
      </c>
      <c r="G86" s="123">
        <f>177.74</f>
        <v>177.74</v>
      </c>
      <c r="H86" s="123">
        <f t="shared" si="8"/>
        <v>9421.26</v>
      </c>
      <c r="I86" s="123">
        <f>587.8677</f>
        <v>587.86770000000001</v>
      </c>
      <c r="J86" s="271"/>
    </row>
    <row r="87" spans="1:10" ht="14.1" customHeight="1" x14ac:dyDescent="0.25">
      <c r="A87" s="192"/>
      <c r="B87" s="176"/>
      <c r="C87" s="60" t="s">
        <v>27</v>
      </c>
      <c r="D87" s="61">
        <v>6411</v>
      </c>
      <c r="E87" s="61"/>
      <c r="F87" s="123">
        <f>26.08187</f>
        <v>26.081869999999999</v>
      </c>
      <c r="G87" s="123">
        <f>147.34143</f>
        <v>147.34143</v>
      </c>
      <c r="H87" s="123">
        <f t="shared" si="8"/>
        <v>6263.6585699999996</v>
      </c>
      <c r="I87" s="123">
        <f>121.6777</f>
        <v>121.6777</v>
      </c>
      <c r="J87" s="271"/>
    </row>
    <row r="88" spans="1:10" ht="14.1" customHeight="1" x14ac:dyDescent="0.25">
      <c r="A88" s="192"/>
      <c r="B88" s="176"/>
      <c r="C88" s="54" t="s">
        <v>50</v>
      </c>
      <c r="D88" s="55">
        <v>8339</v>
      </c>
      <c r="E88" s="55"/>
      <c r="F88" s="129">
        <f>266.65757</f>
        <v>266.65757000000002</v>
      </c>
      <c r="G88" s="129">
        <f>652.99086</f>
        <v>652.99086</v>
      </c>
      <c r="H88" s="129">
        <f t="shared" si="8"/>
        <v>7686.0091400000001</v>
      </c>
      <c r="I88" s="129">
        <f>676.80549</f>
        <v>676.80548999999996</v>
      </c>
      <c r="J88" s="271"/>
    </row>
    <row r="89" spans="1:10" ht="15.75" customHeight="1" x14ac:dyDescent="0.25">
      <c r="A89" s="1"/>
      <c r="B89" s="51"/>
      <c r="C89" s="37" t="s">
        <v>11</v>
      </c>
      <c r="D89" s="59">
        <v>3706</v>
      </c>
      <c r="E89" s="59"/>
      <c r="F89" s="72">
        <f>92.25046</f>
        <v>92.250460000000004</v>
      </c>
      <c r="G89" s="72">
        <f>468.72894</f>
        <v>468.72894000000002</v>
      </c>
      <c r="H89" s="72">
        <f t="shared" si="8"/>
        <v>3237.27106</v>
      </c>
      <c r="I89" s="72">
        <f>377.79636</f>
        <v>377.79635999999999</v>
      </c>
      <c r="J89" s="271"/>
    </row>
    <row r="90" spans="1:10" ht="15.75" customHeight="1" x14ac:dyDescent="0.25">
      <c r="A90" s="1"/>
      <c r="B90" s="51"/>
      <c r="C90" s="70" t="s">
        <v>33</v>
      </c>
      <c r="D90" s="86">
        <v>319</v>
      </c>
      <c r="E90" s="86"/>
      <c r="F90" s="95">
        <f>0.9615</f>
        <v>0.96150000000000002</v>
      </c>
      <c r="G90" s="95">
        <f>4.07502</f>
        <v>4.0750200000000003</v>
      </c>
      <c r="H90" s="95">
        <f t="shared" si="8"/>
        <v>314.92498000000001</v>
      </c>
      <c r="I90" s="95">
        <f>1.36686</f>
        <v>1.36686</v>
      </c>
      <c r="J90" s="271"/>
    </row>
    <row r="91" spans="1:10" ht="18" customHeight="1" x14ac:dyDescent="0.25">
      <c r="A91" s="1"/>
      <c r="B91" s="281"/>
      <c r="C91" s="70" t="s">
        <v>51</v>
      </c>
      <c r="D91" s="140">
        <v>300</v>
      </c>
      <c r="E91" s="140"/>
      <c r="F91" s="136">
        <f>2.20183</f>
        <v>2.2018300000000002</v>
      </c>
      <c r="G91" s="136">
        <f>E91</f>
        <v>0</v>
      </c>
      <c r="H91" s="136">
        <f t="shared" si="8"/>
        <v>300</v>
      </c>
      <c r="I91" s="136">
        <f>E91</f>
        <v>0</v>
      </c>
      <c r="J91" s="271"/>
    </row>
    <row r="92" spans="1:10" ht="16.5" customHeight="1" x14ac:dyDescent="0.25">
      <c r="A92" s="1"/>
      <c r="B92" s="281"/>
      <c r="C92" s="89" t="s">
        <v>37</v>
      </c>
      <c r="D92" s="140">
        <v>50</v>
      </c>
      <c r="E92" s="140"/>
      <c r="F92" s="95">
        <f>0.24227</f>
        <v>0.24227000000000001</v>
      </c>
      <c r="G92" s="95">
        <f>1.36092</f>
        <v>1.3609199999999999</v>
      </c>
      <c r="H92" s="136">
        <f t="shared" si="8"/>
        <v>48.63908</v>
      </c>
      <c r="I92" s="95">
        <f>6.6838</f>
        <v>6.6837999999999997</v>
      </c>
      <c r="J92" s="271"/>
    </row>
    <row r="93" spans="1:10" ht="18" customHeight="1" x14ac:dyDescent="0.25">
      <c r="A93" s="1"/>
      <c r="B93" s="281"/>
      <c r="C93" s="89" t="s">
        <v>52</v>
      </c>
      <c r="D93" s="140"/>
      <c r="E93" s="136"/>
      <c r="F93" s="136">
        <f>0</f>
        <v>0</v>
      </c>
      <c r="G93" s="136">
        <f>0.015</f>
        <v>1.4999999999999999E-2</v>
      </c>
      <c r="H93" s="136">
        <f t="shared" si="8"/>
        <v>-1.4999999999999999E-2</v>
      </c>
      <c r="I93" s="136">
        <f>0.848</f>
        <v>0.84799999999999998</v>
      </c>
      <c r="J93" s="271"/>
    </row>
    <row r="94" spans="1:10" ht="16.5" customHeight="1" x14ac:dyDescent="0.2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0</v>
      </c>
      <c r="F94" s="73">
        <f t="shared" ref="F94:I94" si="10">F79+F82+F90+F91+F92+F93</f>
        <v>1238.8880999999999</v>
      </c>
      <c r="G94" s="73">
        <f t="shared" si="10"/>
        <v>4953.9942300000002</v>
      </c>
      <c r="H94" s="73">
        <f t="shared" si="10"/>
        <v>71391.005769999989</v>
      </c>
      <c r="I94" s="73">
        <f t="shared" si="10"/>
        <v>4599.0793599999997</v>
      </c>
      <c r="J94" s="271"/>
    </row>
    <row r="95" spans="1:10" ht="13.5" customHeight="1" x14ac:dyDescent="0.2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2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2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2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2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00000000000001" customHeight="1" x14ac:dyDescent="0.2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2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" customHeight="1" x14ac:dyDescent="0.2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" customHeight="1" x14ac:dyDescent="0.2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" customHeight="1" x14ac:dyDescent="0.2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" customHeight="1" x14ac:dyDescent="0.2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2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2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2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" customHeight="1" x14ac:dyDescent="0.2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347.46875</v>
      </c>
      <c r="G115" s="10">
        <f t="shared" si="11"/>
        <v>862.34411999999998</v>
      </c>
      <c r="H115" s="10">
        <f t="shared" si="11"/>
        <v>53383.655880000006</v>
      </c>
      <c r="I115" s="10">
        <f t="shared" si="11"/>
        <v>2459.60761</v>
      </c>
      <c r="J115" s="271"/>
    </row>
    <row r="116" spans="1:10" ht="14.1" customHeight="1" x14ac:dyDescent="0.25">
      <c r="A116" s="1"/>
      <c r="B116" s="281"/>
      <c r="C116" s="43" t="s">
        <v>20</v>
      </c>
      <c r="D116" s="44">
        <v>43397</v>
      </c>
      <c r="E116" s="44">
        <v>43397</v>
      </c>
      <c r="F116" s="22">
        <f>345.52575</f>
        <v>345.52575000000002</v>
      </c>
      <c r="G116" s="22">
        <f>807.33712</f>
        <v>807.33712000000003</v>
      </c>
      <c r="H116" s="22">
        <f>D116-G116</f>
        <v>42589.662880000003</v>
      </c>
      <c r="I116" s="22">
        <f>2402.93711</f>
        <v>2402.9371099999998</v>
      </c>
      <c r="J116" s="271"/>
    </row>
    <row r="117" spans="1:10" ht="15" customHeight="1" x14ac:dyDescent="0.25">
      <c r="A117" s="1"/>
      <c r="B117" s="281"/>
      <c r="C117" s="43" t="s">
        <v>21</v>
      </c>
      <c r="D117" s="44">
        <v>10349</v>
      </c>
      <c r="E117" s="44">
        <v>10349</v>
      </c>
      <c r="F117" s="22">
        <f>0</f>
        <v>0</v>
      </c>
      <c r="G117" s="22">
        <f>0</f>
        <v>0</v>
      </c>
      <c r="H117" s="22">
        <f>D117-G117</f>
        <v>10349</v>
      </c>
      <c r="I117" s="22">
        <f>3.2265</f>
        <v>3.2265000000000001</v>
      </c>
      <c r="J117" s="271"/>
    </row>
    <row r="118" spans="1:10" ht="13.5" customHeight="1" x14ac:dyDescent="0.25">
      <c r="A118" s="1"/>
      <c r="B118" s="281"/>
      <c r="C118" s="47" t="s">
        <v>59</v>
      </c>
      <c r="D118" s="32">
        <v>500</v>
      </c>
      <c r="E118" s="32">
        <v>500</v>
      </c>
      <c r="F118" s="22">
        <f>1.943</f>
        <v>1.9430000000000001</v>
      </c>
      <c r="G118" s="22">
        <f>55.007</f>
        <v>55.006999999999998</v>
      </c>
      <c r="H118" s="53">
        <f>D118-G118</f>
        <v>444.99299999999999</v>
      </c>
      <c r="I118" s="22">
        <f>53.444</f>
        <v>53.444000000000003</v>
      </c>
      <c r="J118" s="271"/>
    </row>
    <row r="119" spans="1:10" ht="14.25" customHeight="1" x14ac:dyDescent="0.25">
      <c r="A119" s="65"/>
      <c r="B119" s="75"/>
      <c r="C119" s="85" t="s">
        <v>60</v>
      </c>
      <c r="D119" s="87">
        <v>36653</v>
      </c>
      <c r="E119" s="87">
        <v>36653</v>
      </c>
      <c r="F119" s="92">
        <f>0</f>
        <v>0</v>
      </c>
      <c r="G119" s="92">
        <f>93.06</f>
        <v>93.06</v>
      </c>
      <c r="H119" s="92">
        <f>D119-G119</f>
        <v>36559.94</v>
      </c>
      <c r="I119" s="92">
        <f>23.155</f>
        <v>23.155000000000001</v>
      </c>
      <c r="J119" s="111"/>
    </row>
    <row r="120" spans="1:10" ht="15.75" customHeight="1" x14ac:dyDescent="0.2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1817.86088</v>
      </c>
      <c r="G120" s="91">
        <f t="shared" ref="G120" si="12">G121+G126+G129</f>
        <v>8433.3465300000007</v>
      </c>
      <c r="H120" s="91">
        <f>H121+H126+H129</f>
        <v>48676.653469999997</v>
      </c>
      <c r="I120" s="91">
        <f>I121+I126+I129</f>
        <v>11349.792880000001</v>
      </c>
      <c r="J120" s="117"/>
    </row>
    <row r="121" spans="1:10" ht="14.1" customHeight="1" x14ac:dyDescent="0.2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1497.63607</v>
      </c>
      <c r="G121" s="121">
        <f>G122+G123+G125+G124</f>
        <v>6996.8093100000006</v>
      </c>
      <c r="H121" s="121">
        <f>H122+H123+H124+H125</f>
        <v>36185.190689999996</v>
      </c>
      <c r="I121" s="121">
        <f>I122+I123+I124+I125</f>
        <v>9145.2552599999999</v>
      </c>
      <c r="J121" s="305"/>
    </row>
    <row r="122" spans="1:10" ht="14.1" customHeight="1" x14ac:dyDescent="0.25">
      <c r="A122" s="192"/>
      <c r="B122" s="122"/>
      <c r="C122" s="60" t="s">
        <v>24</v>
      </c>
      <c r="D122" s="61">
        <v>11476</v>
      </c>
      <c r="E122" s="61">
        <v>11476</v>
      </c>
      <c r="F122" s="123">
        <f>416.20344</f>
        <v>416.20344</v>
      </c>
      <c r="G122" s="123">
        <f>2219.55578</f>
        <v>2219.5557800000001</v>
      </c>
      <c r="H122" s="123">
        <f>D122-G122</f>
        <v>9256.4442199999994</v>
      </c>
      <c r="I122" s="123">
        <f>2366.32892</f>
        <v>2366.3289199999999</v>
      </c>
      <c r="J122" s="125"/>
    </row>
    <row r="123" spans="1:10" ht="14.1" customHeight="1" x14ac:dyDescent="0.25">
      <c r="A123" s="192"/>
      <c r="B123" s="176"/>
      <c r="C123" s="60" t="s">
        <v>48</v>
      </c>
      <c r="D123" s="61">
        <v>11835</v>
      </c>
      <c r="E123" s="61">
        <v>11835</v>
      </c>
      <c r="F123" s="123">
        <f>469.70835</f>
        <v>469.70835</v>
      </c>
      <c r="G123" s="123">
        <f>2384.60482</f>
        <v>2384.60482</v>
      </c>
      <c r="H123" s="123">
        <f>D123-G123</f>
        <v>9450.3951799999995</v>
      </c>
      <c r="I123" s="123">
        <f>3083.3988</f>
        <v>3083.3987999999999</v>
      </c>
      <c r="J123" s="126"/>
    </row>
    <row r="124" spans="1:10" ht="14.1" customHeight="1" x14ac:dyDescent="0.25">
      <c r="A124" s="192"/>
      <c r="B124" s="176"/>
      <c r="C124" s="60" t="s">
        <v>49</v>
      </c>
      <c r="D124" s="61">
        <v>10473</v>
      </c>
      <c r="E124" s="61">
        <v>10473</v>
      </c>
      <c r="F124" s="123">
        <f>407.53897</f>
        <v>407.53897000000001</v>
      </c>
      <c r="G124" s="123">
        <f>1373.35374</f>
        <v>1373.35374</v>
      </c>
      <c r="H124" s="123">
        <f>D124-G124</f>
        <v>9099.6462599999995</v>
      </c>
      <c r="I124" s="123">
        <f>2009.11994</f>
        <v>2009.11994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9398</v>
      </c>
      <c r="E125" s="61">
        <v>9398</v>
      </c>
      <c r="F125" s="123">
        <f>204.18531</f>
        <v>204.18530999999999</v>
      </c>
      <c r="G125" s="123">
        <f>1019.29497</f>
        <v>1019.29497</v>
      </c>
      <c r="H125" s="123">
        <f>D125-G125</f>
        <v>8378.7050299999992</v>
      </c>
      <c r="I125" s="123">
        <f>1686.4076</f>
        <v>1686.4076</v>
      </c>
      <c r="J125" s="126"/>
    </row>
    <row r="126" spans="1:10" ht="14.1" customHeight="1" x14ac:dyDescent="0.2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66.828249999999997</v>
      </c>
      <c r="G126" s="129">
        <f>SUM(G127:G128)</f>
        <v>263.94276000000002</v>
      </c>
      <c r="H126" s="129">
        <f>H127+H128</f>
        <v>5864.0572400000001</v>
      </c>
      <c r="I126" s="129">
        <f>SUM(I127:I128)</f>
        <v>1287.9618800000001</v>
      </c>
      <c r="J126" s="130"/>
    </row>
    <row r="127" spans="1:10" ht="14.1" customHeight="1" x14ac:dyDescent="0.25">
      <c r="A127" s="1"/>
      <c r="B127" s="281"/>
      <c r="C127" s="60" t="s">
        <v>62</v>
      </c>
      <c r="D127" s="61">
        <v>5628</v>
      </c>
      <c r="E127" s="61">
        <v>5628</v>
      </c>
      <c r="F127" s="123">
        <f>0</f>
        <v>0</v>
      </c>
      <c r="G127" s="123">
        <f>184.67771</f>
        <v>184.67770999999999</v>
      </c>
      <c r="H127" s="123">
        <f t="shared" ref="H127:H135" si="13">D127-G127</f>
        <v>5443.3222900000001</v>
      </c>
      <c r="I127" s="123">
        <f>1253.13428</f>
        <v>1253.13428</v>
      </c>
      <c r="J127" s="117"/>
    </row>
    <row r="128" spans="1:10" ht="15" customHeight="1" x14ac:dyDescent="0.25">
      <c r="A128" s="1"/>
      <c r="B128" s="51"/>
      <c r="C128" s="60" t="s">
        <v>63</v>
      </c>
      <c r="D128" s="61">
        <v>500</v>
      </c>
      <c r="E128" s="61">
        <v>500</v>
      </c>
      <c r="F128" s="123">
        <f>66.82825</f>
        <v>66.828249999999997</v>
      </c>
      <c r="G128" s="123">
        <f>79.26505</f>
        <v>79.265050000000002</v>
      </c>
      <c r="H128" s="123">
        <f t="shared" si="13"/>
        <v>420.73495000000003</v>
      </c>
      <c r="I128" s="123">
        <f>34.8276</f>
        <v>34.827599999999997</v>
      </c>
      <c r="J128" s="131"/>
    </row>
    <row r="129" spans="1:10" ht="15.75" customHeight="1" x14ac:dyDescent="0.25">
      <c r="A129" s="1"/>
      <c r="B129" s="281"/>
      <c r="C129" s="37" t="s">
        <v>11</v>
      </c>
      <c r="D129" s="59">
        <v>7800</v>
      </c>
      <c r="E129" s="59">
        <v>7800</v>
      </c>
      <c r="F129" s="72">
        <f>253.39656</f>
        <v>253.39655999999999</v>
      </c>
      <c r="G129" s="72">
        <f>1172.59446</f>
        <v>1172.59446</v>
      </c>
      <c r="H129" s="72">
        <f t="shared" si="13"/>
        <v>6627.4055399999997</v>
      </c>
      <c r="I129" s="72">
        <f>916.57574</f>
        <v>916.57574</v>
      </c>
      <c r="J129" s="117"/>
    </row>
    <row r="130" spans="1:10" ht="15.75" customHeight="1" x14ac:dyDescent="0.25">
      <c r="A130" s="1"/>
      <c r="B130" s="281"/>
      <c r="C130" s="139" t="s">
        <v>33</v>
      </c>
      <c r="D130" s="140">
        <v>156</v>
      </c>
      <c r="E130" s="140">
        <v>156</v>
      </c>
      <c r="F130" s="136">
        <f>0.3054</f>
        <v>0.3054</v>
      </c>
      <c r="G130" s="136">
        <f>1.4175</f>
        <v>1.4175</v>
      </c>
      <c r="H130" s="136">
        <f t="shared" si="13"/>
        <v>154.58250000000001</v>
      </c>
      <c r="I130" s="136">
        <f>2.85825</f>
        <v>2.85825</v>
      </c>
      <c r="J130" s="117"/>
    </row>
    <row r="131" spans="1:10" ht="15.75" customHeight="1" x14ac:dyDescent="0.2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3"/>
        <v>350</v>
      </c>
      <c r="I131" s="95">
        <f>0</f>
        <v>0</v>
      </c>
      <c r="J131" s="117"/>
    </row>
    <row r="132" spans="1:10" ht="18" customHeight="1" x14ac:dyDescent="0.25">
      <c r="A132" s="1"/>
      <c r="B132" s="281"/>
      <c r="C132" s="137" t="s">
        <v>65</v>
      </c>
      <c r="D132" s="140">
        <v>2000</v>
      </c>
      <c r="E132" s="140">
        <v>2000</v>
      </c>
      <c r="F132" s="136">
        <f>9.19457</f>
        <v>9.1945700000000006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2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25">
      <c r="A134" s="1"/>
      <c r="B134" s="281"/>
      <c r="C134" s="139" t="s">
        <v>66</v>
      </c>
      <c r="D134" s="140">
        <v>255</v>
      </c>
      <c r="E134" s="140">
        <v>255</v>
      </c>
      <c r="F134" s="95">
        <f>0.27125</f>
        <v>0.27124999999999999</v>
      </c>
      <c r="G134" s="95">
        <f>2.00385</f>
        <v>2.0038499999999999</v>
      </c>
      <c r="H134" s="136">
        <f t="shared" si="13"/>
        <v>252.99615</v>
      </c>
      <c r="I134" s="95">
        <f>13.38975</f>
        <v>13.389749999999999</v>
      </c>
      <c r="J134" s="117"/>
    </row>
    <row r="135" spans="1:10" ht="15" customHeight="1" x14ac:dyDescent="0.25">
      <c r="A135" s="1"/>
      <c r="B135" s="281"/>
      <c r="C135" s="139" t="s">
        <v>38</v>
      </c>
      <c r="D135" s="142"/>
      <c r="E135" s="140"/>
      <c r="F135" s="136">
        <f>0.118</f>
        <v>0.11799999999999999</v>
      </c>
      <c r="G135" s="136">
        <f>41.661</f>
        <v>41.661000000000001</v>
      </c>
      <c r="H135" s="136">
        <f t="shared" si="13"/>
        <v>-41.661000000000001</v>
      </c>
      <c r="I135" s="136">
        <f>41.691</f>
        <v>41.691000000000003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2175.2188500000002</v>
      </c>
      <c r="G137" s="73">
        <f>G115+G119+G120+G130+G131+G132+G133+G134+G135</f>
        <v>11433.832999999999</v>
      </c>
      <c r="H137" s="73">
        <f>H115+H119+H120+H130+H131+H132+H133+H134+H135</f>
        <v>139336.16699999999</v>
      </c>
      <c r="I137" s="73">
        <f>I115+I119+I120+I130+I131+I132+I133+I134+I135</f>
        <v>15890.494490000001</v>
      </c>
      <c r="J137" s="155"/>
    </row>
    <row r="138" spans="1:10" ht="14.25" customHeight="1" x14ac:dyDescent="0.2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2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2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2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2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" customHeight="1" x14ac:dyDescent="0.2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" customHeight="1" x14ac:dyDescent="0.2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" customHeight="1" x14ac:dyDescent="0.2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" customHeight="1" x14ac:dyDescent="0.2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" customHeight="1" x14ac:dyDescent="0.2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2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2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" customHeight="1" x14ac:dyDescent="0.25">
      <c r="A160" s="1"/>
      <c r="B160" s="281"/>
      <c r="C160" s="138" t="s">
        <v>70</v>
      </c>
      <c r="D160" s="91">
        <v>3754</v>
      </c>
      <c r="E160" s="301">
        <f>5.70896</f>
        <v>5.7089600000000003</v>
      </c>
      <c r="F160" s="301">
        <f>67.71712</f>
        <v>67.717119999999994</v>
      </c>
      <c r="G160" s="42">
        <f>D160-F160-F161</f>
        <v>3556.0353500000001</v>
      </c>
      <c r="H160" s="301">
        <f>146.20338</f>
        <v>146.20338000000001</v>
      </c>
      <c r="I160" s="1"/>
      <c r="J160" s="117"/>
    </row>
    <row r="161" spans="1:10" ht="14.1" customHeight="1" x14ac:dyDescent="0.25">
      <c r="A161" s="1"/>
      <c r="B161" s="281"/>
      <c r="C161" s="133" t="s">
        <v>50</v>
      </c>
      <c r="D161" s="175"/>
      <c r="E161" s="148">
        <f>62.94583</f>
        <v>62.945830000000001</v>
      </c>
      <c r="F161" s="148">
        <f>130.24753</f>
        <v>130.24753000000001</v>
      </c>
      <c r="G161" s="219"/>
      <c r="H161" s="148">
        <f>163.52602</f>
        <v>163.52601999999999</v>
      </c>
      <c r="I161" s="1"/>
      <c r="J161" s="117"/>
    </row>
    <row r="162" spans="1:10" ht="15.6" customHeight="1" x14ac:dyDescent="0.25">
      <c r="A162" s="1"/>
      <c r="B162" s="281"/>
      <c r="C162" s="163" t="s">
        <v>71</v>
      </c>
      <c r="D162" s="95">
        <v>200</v>
      </c>
      <c r="E162" s="166">
        <f>0</f>
        <v>0</v>
      </c>
      <c r="F162" s="166">
        <f>0</f>
        <v>0</v>
      </c>
      <c r="G162" s="166">
        <f>D162-F162</f>
        <v>200</v>
      </c>
      <c r="H162" s="166">
        <f>0.03358</f>
        <v>3.3579999999999999E-2</v>
      </c>
      <c r="I162" s="1"/>
      <c r="J162" s="117"/>
    </row>
    <row r="163" spans="1:10" ht="14.1" customHeight="1" x14ac:dyDescent="0.25">
      <c r="A163" s="65"/>
      <c r="B163" s="75"/>
      <c r="C163" s="174" t="s">
        <v>72</v>
      </c>
      <c r="D163" s="175">
        <v>5630</v>
      </c>
      <c r="E163" s="175">
        <f>E164+E165+E166</f>
        <v>8.6364199999999993</v>
      </c>
      <c r="F163" s="175">
        <f>F164+F165+F166</f>
        <v>41.211539999999999</v>
      </c>
      <c r="G163" s="175">
        <f>D163-F163</f>
        <v>5588.7884599999998</v>
      </c>
      <c r="H163" s="175">
        <f>H164+H165+H166</f>
        <v>13.802700000000002</v>
      </c>
      <c r="I163" s="65"/>
      <c r="J163" s="111"/>
    </row>
    <row r="164" spans="1:10" ht="14.1" customHeight="1" x14ac:dyDescent="0.25">
      <c r="A164" s="192"/>
      <c r="B164" s="176"/>
      <c r="C164" s="177" t="s">
        <v>73</v>
      </c>
      <c r="D164" s="123"/>
      <c r="E164" s="123">
        <f>3.6495</f>
        <v>3.6495000000000002</v>
      </c>
      <c r="F164" s="123">
        <f>20.25318</f>
        <v>20.25318</v>
      </c>
      <c r="G164" s="123"/>
      <c r="H164" s="123">
        <f>4.7064</f>
        <v>4.7064000000000004</v>
      </c>
      <c r="I164" s="181"/>
      <c r="J164" s="126"/>
    </row>
    <row r="165" spans="1:10" ht="14.1" customHeight="1" x14ac:dyDescent="0.25">
      <c r="A165" s="192"/>
      <c r="B165" s="176"/>
      <c r="C165" s="177" t="s">
        <v>74</v>
      </c>
      <c r="D165" s="123"/>
      <c r="E165" s="123">
        <f>4.98692</f>
        <v>4.9869199999999996</v>
      </c>
      <c r="F165" s="123">
        <f>20.29674</f>
        <v>20.29674</v>
      </c>
      <c r="G165" s="123"/>
      <c r="H165" s="123">
        <f>3.6784</f>
        <v>3.6783999999999999</v>
      </c>
      <c r="I165" s="181"/>
      <c r="J165" s="182"/>
    </row>
    <row r="166" spans="1:10" ht="14.1" customHeight="1" x14ac:dyDescent="0.25">
      <c r="A166" s="192"/>
      <c r="B166" s="176"/>
      <c r="C166" s="183" t="s">
        <v>75</v>
      </c>
      <c r="D166" s="186"/>
      <c r="E166" s="186">
        <f>0</f>
        <v>0</v>
      </c>
      <c r="F166" s="186">
        <f>0.66162</f>
        <v>0.66161999999999999</v>
      </c>
      <c r="G166" s="186"/>
      <c r="H166" s="186">
        <f>5.4179</f>
        <v>5.4179000000000004</v>
      </c>
      <c r="I166" s="181"/>
      <c r="J166" s="182"/>
    </row>
    <row r="167" spans="1:10" ht="14.1" customHeight="1" x14ac:dyDescent="0.2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2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50000000000001" customHeight="1" x14ac:dyDescent="0.2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77.291210000000007</v>
      </c>
      <c r="F169" s="188">
        <f>F160+F161+F162+F163+F167+F168</f>
        <v>239.65215000000001</v>
      </c>
      <c r="G169" s="188">
        <f>D169-F169</f>
        <v>9435.3478500000001</v>
      </c>
      <c r="H169" s="188">
        <f>H160+H161+H162+H163+H167+H168</f>
        <v>323.56567999999999</v>
      </c>
      <c r="I169" s="159"/>
      <c r="J169" s="155"/>
    </row>
    <row r="170" spans="1:10" ht="42" customHeight="1" x14ac:dyDescent="0.2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2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2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2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25">
      <c r="A189" s="1"/>
      <c r="B189" s="281"/>
      <c r="C189" s="90" t="s">
        <v>4</v>
      </c>
      <c r="D189" s="124">
        <v>45561</v>
      </c>
      <c r="E189" s="124"/>
      <c r="F189" s="124">
        <f>805.38499</f>
        <v>805.38499000000002</v>
      </c>
      <c r="G189" s="124">
        <f>8354.66401</f>
        <v>8354.6640100000004</v>
      </c>
      <c r="H189" s="124">
        <f>D189-G189</f>
        <v>37206.33599</v>
      </c>
      <c r="I189" s="124">
        <f>11104.54831</f>
        <v>11104.54831</v>
      </c>
      <c r="J189" s="117"/>
    </row>
    <row r="190" spans="1:10" ht="15" customHeight="1" x14ac:dyDescent="0.25">
      <c r="A190" s="1"/>
      <c r="B190" s="281"/>
      <c r="C190" s="90" t="s">
        <v>63</v>
      </c>
      <c r="D190" s="124">
        <v>100</v>
      </c>
      <c r="E190" s="124"/>
      <c r="F190" s="124">
        <f>0.015</f>
        <v>1.4999999999999999E-2</v>
      </c>
      <c r="G190" s="124">
        <f>0.79</f>
        <v>0.79</v>
      </c>
      <c r="H190" s="124">
        <f>D190-G190</f>
        <v>99.21</v>
      </c>
      <c r="I190" s="124">
        <f>1.5169</f>
        <v>1.5168999999999999</v>
      </c>
      <c r="J190" s="117"/>
    </row>
    <row r="191" spans="1:10" ht="15.75" customHeight="1" x14ac:dyDescent="0.25">
      <c r="A191" s="1"/>
      <c r="B191" s="281"/>
      <c r="C191" s="146" t="s">
        <v>76</v>
      </c>
      <c r="D191" s="168">
        <v>46</v>
      </c>
      <c r="E191" s="168"/>
      <c r="F191" s="136">
        <f>0</f>
        <v>0</v>
      </c>
      <c r="G191" s="136">
        <f>0</f>
        <v>0</v>
      </c>
      <c r="H191" s="136">
        <f>D191-G191</f>
        <v>46</v>
      </c>
      <c r="I191" s="136">
        <f>0</f>
        <v>0</v>
      </c>
      <c r="J191" s="117"/>
    </row>
    <row r="192" spans="1:10" ht="16.5" customHeight="1" x14ac:dyDescent="0.25">
      <c r="A192" s="1"/>
      <c r="B192" s="281"/>
      <c r="C192" s="179" t="s">
        <v>82</v>
      </c>
      <c r="D192" s="190">
        <f>SUM(D189:D191)</f>
        <v>45707</v>
      </c>
      <c r="E192" s="190">
        <f>SUM(E189:E191)</f>
        <v>0</v>
      </c>
      <c r="F192" s="190">
        <f>SUM(F189:F191)</f>
        <v>805.39999</v>
      </c>
      <c r="G192" s="190">
        <f>SUM(G189:G191)</f>
        <v>8355.4540100000013</v>
      </c>
      <c r="H192" s="190">
        <f>D192-G192</f>
        <v>37351.545989999999</v>
      </c>
      <c r="I192" s="190">
        <f>SUM(I189:I191)</f>
        <v>11106.065210000001</v>
      </c>
      <c r="J192" s="117"/>
    </row>
    <row r="193" spans="1:10" ht="12" customHeight="1" x14ac:dyDescent="0.2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2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25">
      <c r="A202" s="1"/>
      <c r="B202" s="281"/>
      <c r="C202" s="90" t="s">
        <v>112</v>
      </c>
      <c r="D202" s="124">
        <v>3202</v>
      </c>
      <c r="E202" s="72">
        <f>E203+E204</f>
        <v>397.64582999999999</v>
      </c>
      <c r="F202" s="72">
        <f>F203+F204</f>
        <v>767.72497999999996</v>
      </c>
      <c r="G202" s="72">
        <f>D202-F202</f>
        <v>2434.27502</v>
      </c>
      <c r="H202" s="72">
        <f>H203+H204</f>
        <v>295.41007000000002</v>
      </c>
      <c r="I202" s="275"/>
      <c r="J202" s="117"/>
    </row>
    <row r="203" spans="1:10" ht="15" customHeight="1" x14ac:dyDescent="0.25">
      <c r="A203" s="1"/>
      <c r="B203" s="281"/>
      <c r="C203" s="172" t="s">
        <v>8</v>
      </c>
      <c r="D203" s="124"/>
      <c r="E203" s="72">
        <f>384.17043</f>
        <v>384.17043000000001</v>
      </c>
      <c r="F203" s="72">
        <f>731.80777</f>
        <v>731.80777</v>
      </c>
      <c r="G203" s="72"/>
      <c r="H203" s="72">
        <f>237.92912</f>
        <v>237.92912000000001</v>
      </c>
      <c r="I203" s="275"/>
      <c r="J203" s="117"/>
    </row>
    <row r="204" spans="1:10" ht="15" customHeight="1" x14ac:dyDescent="0.25">
      <c r="A204" s="1"/>
      <c r="B204" s="281"/>
      <c r="C204" s="172" t="s">
        <v>63</v>
      </c>
      <c r="D204" s="124"/>
      <c r="E204" s="124">
        <f>13.4754</f>
        <v>13.4754</v>
      </c>
      <c r="F204" s="124">
        <f>35.91721</f>
        <v>35.917209999999997</v>
      </c>
      <c r="G204" s="168"/>
      <c r="H204" s="124">
        <f>57.48095</f>
        <v>57.48095</v>
      </c>
      <c r="I204" s="275"/>
      <c r="J204" s="117"/>
    </row>
    <row r="205" spans="1:10" ht="15" customHeight="1" x14ac:dyDescent="0.25">
      <c r="A205" s="1"/>
      <c r="B205" s="281"/>
      <c r="C205" s="90" t="s">
        <v>113</v>
      </c>
      <c r="D205" s="124">
        <v>3704</v>
      </c>
      <c r="E205" s="72">
        <f>140.13962</f>
        <v>140.13962000000001</v>
      </c>
      <c r="F205" s="72">
        <f>590.4099</f>
        <v>590.40989999999999</v>
      </c>
      <c r="G205" s="72">
        <f>D205-F205</f>
        <v>3113.5900999999999</v>
      </c>
      <c r="H205" s="72">
        <f>408.4122</f>
        <v>408.41219999999998</v>
      </c>
      <c r="I205" s="275"/>
      <c r="J205" s="117"/>
    </row>
    <row r="206" spans="1:10" ht="16.5" customHeight="1" x14ac:dyDescent="0.25">
      <c r="A206" s="1"/>
      <c r="B206" s="281"/>
      <c r="C206" s="179" t="s">
        <v>82</v>
      </c>
      <c r="D206" s="190">
        <f>D205+D202</f>
        <v>6906</v>
      </c>
      <c r="E206" s="190">
        <f>SUM(E202,E205)</f>
        <v>537.78544999999997</v>
      </c>
      <c r="F206" s="190">
        <f>SUM(F202,F205)</f>
        <v>1358.1348800000001</v>
      </c>
      <c r="G206" s="190">
        <f>D206-F206</f>
        <v>5547.8651200000004</v>
      </c>
      <c r="H206" s="190">
        <f>SUM(H202,H205)</f>
        <v>703.82227</v>
      </c>
      <c r="I206" s="275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2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25">
      <c r="A215" s="1"/>
      <c r="B215" s="281"/>
      <c r="C215" s="90" t="s">
        <v>112</v>
      </c>
      <c r="D215" s="124">
        <v>5516</v>
      </c>
      <c r="E215" s="72">
        <f>E216+E217</f>
        <v>583.86287000000004</v>
      </c>
      <c r="F215" s="72">
        <f>F216+F217</f>
        <v>950.05632000000003</v>
      </c>
      <c r="G215" s="72">
        <f>D215-F215</f>
        <v>4565.9436800000003</v>
      </c>
      <c r="H215" s="72">
        <f>H216+H217</f>
        <v>326.86105000000003</v>
      </c>
      <c r="I215" s="275"/>
      <c r="J215" s="117"/>
    </row>
    <row r="216" spans="1:10" ht="15" customHeight="1" x14ac:dyDescent="0.25">
      <c r="A216" s="1"/>
      <c r="B216" s="281"/>
      <c r="C216" s="172" t="s">
        <v>8</v>
      </c>
      <c r="D216" s="124"/>
      <c r="E216" s="72">
        <f>579.26949</f>
        <v>579.26949000000002</v>
      </c>
      <c r="F216" s="72">
        <f>919.33123</f>
        <v>919.33123000000001</v>
      </c>
      <c r="G216" s="72"/>
      <c r="H216" s="72">
        <f>304.47606</f>
        <v>304.47606000000002</v>
      </c>
      <c r="I216" s="275"/>
      <c r="J216" s="117"/>
    </row>
    <row r="217" spans="1:10" ht="15" customHeight="1" x14ac:dyDescent="0.25">
      <c r="A217" s="1"/>
      <c r="B217" s="281"/>
      <c r="C217" s="172" t="s">
        <v>63</v>
      </c>
      <c r="D217" s="124"/>
      <c r="E217" s="124">
        <f>4.59338</f>
        <v>4.5933799999999998</v>
      </c>
      <c r="F217" s="124">
        <f>30.72509</f>
        <v>30.725090000000002</v>
      </c>
      <c r="G217" s="168"/>
      <c r="H217" s="124">
        <f>22.38499</f>
        <v>22.384989999999998</v>
      </c>
      <c r="I217" s="275"/>
      <c r="J217" s="117"/>
    </row>
    <row r="218" spans="1:10" ht="15" customHeight="1" x14ac:dyDescent="0.25">
      <c r="A218" s="1"/>
      <c r="B218" s="281"/>
      <c r="C218" s="90" t="s">
        <v>113</v>
      </c>
      <c r="D218" s="124">
        <v>3232</v>
      </c>
      <c r="E218" s="72">
        <f>128.20152</f>
        <v>128.20151999999999</v>
      </c>
      <c r="F218" s="72">
        <f>700.93155</f>
        <v>700.93155000000002</v>
      </c>
      <c r="G218" s="72">
        <f>D218-F218</f>
        <v>2531.0684499999998</v>
      </c>
      <c r="H218" s="72">
        <f>447.09984</f>
        <v>447.09983999999997</v>
      </c>
      <c r="I218" s="275"/>
      <c r="J218" s="117"/>
    </row>
    <row r="219" spans="1:10" ht="16.5" customHeight="1" x14ac:dyDescent="0.25">
      <c r="A219" s="1"/>
      <c r="B219" s="281"/>
      <c r="C219" s="179" t="s">
        <v>82</v>
      </c>
      <c r="D219" s="190">
        <f>D218+D215</f>
        <v>8748</v>
      </c>
      <c r="E219" s="190">
        <f>SUM(E215,E218)</f>
        <v>712.06439</v>
      </c>
      <c r="F219" s="190">
        <f>SUM(F215,F218)</f>
        <v>1650.9878699999999</v>
      </c>
      <c r="G219" s="190">
        <f>D219-F219</f>
        <v>7097.0121300000001</v>
      </c>
      <c r="H219" s="190">
        <f>SUM(H215,H218)</f>
        <v>773.96089000000006</v>
      </c>
      <c r="I219" s="275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21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6" customHeight="1" x14ac:dyDescent="0.2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" customHeight="1" x14ac:dyDescent="0.2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" customHeight="1" x14ac:dyDescent="0.2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2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2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" customHeight="1" x14ac:dyDescent="0.2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2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" customHeight="1" x14ac:dyDescent="0.25">
      <c r="A237" s="65"/>
      <c r="B237" s="75"/>
      <c r="C237" s="90" t="s">
        <v>88</v>
      </c>
      <c r="D237" s="124">
        <v>800</v>
      </c>
      <c r="E237" s="124">
        <f>1.32718</f>
        <v>1.32718</v>
      </c>
      <c r="F237" s="124">
        <f>8.1477</f>
        <v>8.1477000000000004</v>
      </c>
      <c r="G237" s="124">
        <f>D237-F237</f>
        <v>791.85230000000001</v>
      </c>
      <c r="H237" s="124">
        <f>53.01555</f>
        <v>53.015549999999998</v>
      </c>
      <c r="I237" s="65"/>
      <c r="J237" s="271"/>
    </row>
    <row r="238" spans="1:10" ht="14.1" customHeight="1" x14ac:dyDescent="0.25">
      <c r="A238" s="1"/>
      <c r="B238" s="281"/>
      <c r="C238" s="90" t="s">
        <v>89</v>
      </c>
      <c r="D238" s="273">
        <v>706</v>
      </c>
      <c r="E238" s="124">
        <f>3.27098</f>
        <v>3.2709800000000002</v>
      </c>
      <c r="F238" s="124">
        <f>72.49959</f>
        <v>72.499589999999998</v>
      </c>
      <c r="G238" s="124">
        <f>D238-F238</f>
        <v>633.50040999999999</v>
      </c>
      <c r="H238" s="124">
        <f>129.23497</f>
        <v>129.23497</v>
      </c>
      <c r="I238" s="173"/>
      <c r="J238" s="111"/>
    </row>
    <row r="239" spans="1:10" ht="16.5" customHeight="1" x14ac:dyDescent="0.2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</f>
        <v>0</v>
      </c>
      <c r="G239" s="124">
        <f>D239-F239</f>
        <v>10</v>
      </c>
      <c r="H239" s="168">
        <f>0.027</f>
        <v>2.7E-2</v>
      </c>
      <c r="I239" s="65"/>
      <c r="J239" s="276"/>
    </row>
    <row r="240" spans="1:10" ht="18.75" customHeight="1" x14ac:dyDescent="0.25">
      <c r="A240" s="65"/>
      <c r="B240" s="277"/>
      <c r="C240" s="146" t="s">
        <v>90</v>
      </c>
      <c r="D240" s="249"/>
      <c r="E240" s="168">
        <f>0</f>
        <v>0</v>
      </c>
      <c r="F240" s="168">
        <f>0.045</f>
        <v>4.4999999999999998E-2</v>
      </c>
      <c r="G240" s="124">
        <f>D240-F240</f>
        <v>-4.4999999999999998E-2</v>
      </c>
      <c r="H240" s="168">
        <f>0</f>
        <v>0</v>
      </c>
      <c r="I240" s="309"/>
      <c r="J240" s="117"/>
    </row>
    <row r="241" spans="1:10" ht="14.1" customHeight="1" x14ac:dyDescent="0.25">
      <c r="A241" s="1"/>
      <c r="B241" s="281"/>
      <c r="C241" s="179" t="s">
        <v>82</v>
      </c>
      <c r="D241" s="5">
        <f>D226</f>
        <v>1516</v>
      </c>
      <c r="E241" s="190">
        <f>SUM(E237:E240)</f>
        <v>4.59816</v>
      </c>
      <c r="F241" s="190">
        <f>SUM(F237:F240)</f>
        <v>80.69229</v>
      </c>
      <c r="G241" s="190">
        <f>D241-F241</f>
        <v>1435.30771</v>
      </c>
      <c r="H241" s="190">
        <f>H237+H238+H239+H240</f>
        <v>182.27751999999998</v>
      </c>
      <c r="I241" s="1"/>
      <c r="J241" s="117"/>
    </row>
    <row r="242" spans="1:10" ht="14.1" customHeight="1" x14ac:dyDescent="0.2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108</v>
      </c>
    </row>
    <row r="245" spans="1:10" ht="14.1" customHeight="1" x14ac:dyDescent="0.25">
      <c r="A245" s="1" t="s">
        <v>108</v>
      </c>
    </row>
    <row r="246" spans="1:10" ht="30" customHeight="1" x14ac:dyDescent="0.3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2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2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2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" customHeight="1" x14ac:dyDescent="0.2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" customHeight="1" x14ac:dyDescent="0.2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35" customHeight="1" x14ac:dyDescent="0.2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35" customHeight="1" x14ac:dyDescent="0.2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2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2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" customHeight="1" x14ac:dyDescent="0.2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0</v>
      </c>
      <c r="F262" s="280">
        <f t="shared" si="15"/>
        <v>33.821069999999999</v>
      </c>
      <c r="G262" s="280">
        <f t="shared" si="15"/>
        <v>109.21151</v>
      </c>
      <c r="H262" s="280">
        <f>H266+H265+H264+H263</f>
        <v>15105.788489999999</v>
      </c>
      <c r="I262" s="280">
        <f t="shared" si="15"/>
        <v>358.16629999999998</v>
      </c>
      <c r="J262" s="127"/>
    </row>
    <row r="263" spans="1:10" ht="14.1" customHeight="1" x14ac:dyDescent="0.25">
      <c r="A263" s="223"/>
      <c r="B263" s="69"/>
      <c r="C263" s="282" t="s">
        <v>98</v>
      </c>
      <c r="D263" s="283">
        <v>7457</v>
      </c>
      <c r="E263" s="283"/>
      <c r="F263" s="284">
        <f>15.8139</f>
        <v>15.8139</v>
      </c>
      <c r="G263" s="284">
        <f>15.8139</f>
        <v>15.8139</v>
      </c>
      <c r="H263" s="284">
        <f t="shared" ref="H263:H268" si="16">D263-G263</f>
        <v>7441.1860999999999</v>
      </c>
      <c r="I263" s="284">
        <f>129.32783</f>
        <v>129.32783000000001</v>
      </c>
      <c r="J263" s="127"/>
    </row>
    <row r="264" spans="1:10" ht="14.1" customHeight="1" x14ac:dyDescent="0.25">
      <c r="A264" s="223"/>
      <c r="B264" s="69"/>
      <c r="C264" s="286" t="s">
        <v>21</v>
      </c>
      <c r="D264" s="283">
        <v>1941</v>
      </c>
      <c r="E264" s="283"/>
      <c r="F264" s="284">
        <f>0</f>
        <v>0</v>
      </c>
      <c r="G264" s="284">
        <f>0</f>
        <v>0</v>
      </c>
      <c r="H264" s="284">
        <f t="shared" si="16"/>
        <v>1941</v>
      </c>
      <c r="I264" s="284">
        <f>0</f>
        <v>0</v>
      </c>
      <c r="J264" s="127"/>
    </row>
    <row r="265" spans="1:10" ht="14.1" customHeight="1" x14ac:dyDescent="0.25">
      <c r="A265" s="223"/>
      <c r="B265" s="69"/>
      <c r="C265" s="286" t="s">
        <v>95</v>
      </c>
      <c r="D265" s="283">
        <v>1338</v>
      </c>
      <c r="E265" s="283"/>
      <c r="F265" s="284">
        <f>17.55237</f>
        <v>17.55237</v>
      </c>
      <c r="G265" s="284">
        <f>89.92721</f>
        <v>89.927210000000002</v>
      </c>
      <c r="H265" s="284">
        <f t="shared" si="16"/>
        <v>1248.0727899999999</v>
      </c>
      <c r="I265" s="284">
        <f>195.80567</f>
        <v>195.80566999999999</v>
      </c>
      <c r="J265" s="127"/>
    </row>
    <row r="266" spans="1:10" ht="14.1" customHeight="1" x14ac:dyDescent="0.25">
      <c r="A266" s="223"/>
      <c r="B266" s="69"/>
      <c r="C266" s="288" t="s">
        <v>118</v>
      </c>
      <c r="D266" s="289">
        <v>4479</v>
      </c>
      <c r="E266" s="289"/>
      <c r="F266" s="284">
        <f>0.4548</f>
        <v>0.45479999999999998</v>
      </c>
      <c r="G266" s="284">
        <f>3.4704</f>
        <v>3.4704000000000002</v>
      </c>
      <c r="H266" s="284">
        <f t="shared" si="16"/>
        <v>4475.5295999999998</v>
      </c>
      <c r="I266" s="284">
        <f>33.0328</f>
        <v>33.032800000000002</v>
      </c>
      <c r="J266" s="127"/>
    </row>
    <row r="267" spans="1:10" ht="14.1" customHeight="1" x14ac:dyDescent="0.25">
      <c r="A267" s="223"/>
      <c r="B267" s="69"/>
      <c r="C267" s="291" t="s">
        <v>56</v>
      </c>
      <c r="D267" s="292">
        <v>5500</v>
      </c>
      <c r="E267" s="292"/>
      <c r="F267" s="294">
        <f>0</f>
        <v>0</v>
      </c>
      <c r="G267" s="294">
        <f>5.376</f>
        <v>5.3760000000000003</v>
      </c>
      <c r="H267" s="294">
        <f t="shared" si="16"/>
        <v>5494.6239999999998</v>
      </c>
      <c r="I267" s="294">
        <f>19.88</f>
        <v>19.88</v>
      </c>
      <c r="J267" s="127"/>
    </row>
    <row r="268" spans="1:10" ht="14.1" customHeight="1" x14ac:dyDescent="0.25">
      <c r="A268" s="223"/>
      <c r="B268" s="69"/>
      <c r="C268" s="274" t="s">
        <v>22</v>
      </c>
      <c r="D268" s="278">
        <v>8000</v>
      </c>
      <c r="E268" s="278"/>
      <c r="F268" s="295">
        <f>F270+F269</f>
        <v>21.631170000000001</v>
      </c>
      <c r="G268" s="295">
        <f>G270+G269</f>
        <v>203.85748000000001</v>
      </c>
      <c r="H268" s="295">
        <f t="shared" si="16"/>
        <v>7796.1425200000003</v>
      </c>
      <c r="I268" s="295">
        <f>I270+I269</f>
        <v>331.41629</v>
      </c>
      <c r="J268" s="127"/>
    </row>
    <row r="269" spans="1:10" ht="14.1" customHeight="1" x14ac:dyDescent="0.2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0</f>
        <v>0</v>
      </c>
      <c r="H269" s="284"/>
      <c r="I269" s="284">
        <f>25.67816</f>
        <v>25.678159999999998</v>
      </c>
      <c r="J269" s="127"/>
    </row>
    <row r="270" spans="1:10" ht="14.1" customHeight="1" x14ac:dyDescent="0.25">
      <c r="A270" s="223"/>
      <c r="B270" s="69"/>
      <c r="C270" s="299" t="s">
        <v>99</v>
      </c>
      <c r="D270" s="300"/>
      <c r="E270" s="302"/>
      <c r="F270" s="303">
        <f>21.63117</f>
        <v>21.631170000000001</v>
      </c>
      <c r="G270" s="303">
        <f>203.85748</f>
        <v>203.85748000000001</v>
      </c>
      <c r="H270" s="303"/>
      <c r="I270" s="303">
        <f>305.73813</f>
        <v>305.73813000000001</v>
      </c>
      <c r="J270" s="127"/>
    </row>
    <row r="271" spans="1:10" ht="14.1" customHeight="1" x14ac:dyDescent="0.25">
      <c r="A271" s="223"/>
      <c r="B271" s="69"/>
      <c r="C271" s="291" t="s">
        <v>33</v>
      </c>
      <c r="D271" s="292">
        <v>13</v>
      </c>
      <c r="E271" s="292"/>
      <c r="F271" s="294">
        <f>0</f>
        <v>0</v>
      </c>
      <c r="G271" s="294">
        <f>0</f>
        <v>0</v>
      </c>
      <c r="H271" s="294">
        <f>D271-G271</f>
        <v>13</v>
      </c>
      <c r="I271" s="294">
        <f>0.0108</f>
        <v>1.0800000000000001E-2</v>
      </c>
      <c r="J271" s="127"/>
    </row>
    <row r="272" spans="1:10" ht="14.1" customHeight="1" x14ac:dyDescent="0.25">
      <c r="A272" s="223"/>
      <c r="B272" s="69"/>
      <c r="C272" s="304" t="s">
        <v>100</v>
      </c>
      <c r="D272" s="307"/>
      <c r="E272" s="308"/>
      <c r="F272" s="294">
        <f>0.072</f>
        <v>7.1999999999999995E-2</v>
      </c>
      <c r="G272" s="294">
        <f>0.36797</f>
        <v>0.36797000000000002</v>
      </c>
      <c r="H272" s="294">
        <f>D272-G272</f>
        <v>-0.36797000000000002</v>
      </c>
      <c r="I272" s="294">
        <f>2.9074</f>
        <v>2.9074</v>
      </c>
      <c r="J272" s="127"/>
    </row>
    <row r="273" spans="1:10" ht="19.5" customHeight="1" x14ac:dyDescent="0.2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0</v>
      </c>
      <c r="F273" s="312">
        <f t="shared" ref="F273:I273" si="17">F262+F267+F268+F271+F272</f>
        <v>55.524240000000006</v>
      </c>
      <c r="G273" s="312">
        <f t="shared" si="17"/>
        <v>318.81296000000003</v>
      </c>
      <c r="H273" s="312">
        <f>H262+H267+H268+H271+H272</f>
        <v>28409.187040000001</v>
      </c>
      <c r="I273" s="312">
        <f t="shared" si="17"/>
        <v>712.38079000000005</v>
      </c>
      <c r="J273" s="127"/>
    </row>
    <row r="274" spans="1:10" ht="14.1" customHeight="1" x14ac:dyDescent="0.2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" customHeight="1" x14ac:dyDescent="0.2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" customHeight="1" x14ac:dyDescent="0.2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2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371.25" customHeight="1" x14ac:dyDescent="0.2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23"/>
      <c r="C279" s="145" t="s">
        <v>108</v>
      </c>
      <c r="D279" s="152"/>
    </row>
    <row r="280" spans="1:10" ht="14.1" customHeight="1" x14ac:dyDescent="0.2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" customHeight="1" x14ac:dyDescent="0.2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" customHeight="1" x14ac:dyDescent="0.2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23"/>
      <c r="B288" s="69"/>
      <c r="C288" s="328" t="s">
        <v>116</v>
      </c>
      <c r="D288" s="328"/>
      <c r="E288" s="328"/>
      <c r="F288" s="328"/>
      <c r="G288" s="208"/>
      <c r="H288" s="208"/>
      <c r="I288" s="145"/>
      <c r="J288" s="127"/>
    </row>
    <row r="289" spans="1:10" ht="14.1" customHeight="1" x14ac:dyDescent="0.2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2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" customHeight="1" x14ac:dyDescent="0.2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925.1269299999999</v>
      </c>
      <c r="G294" s="82">
        <f>D294-F294</f>
        <v>-146.1269299999999</v>
      </c>
      <c r="H294" s="25">
        <f>SUM(H295:H296)</f>
        <v>1023.20588</v>
      </c>
      <c r="I294" s="26"/>
      <c r="J294" s="127"/>
    </row>
    <row r="295" spans="1:10" ht="14.1" customHeight="1" x14ac:dyDescent="0.25">
      <c r="A295" s="223"/>
      <c r="B295" s="69"/>
      <c r="C295" s="28" t="s">
        <v>8</v>
      </c>
      <c r="E295" s="198">
        <f>0</f>
        <v>0</v>
      </c>
      <c r="F295" s="198">
        <f>684.21575</f>
        <v>684.21574999999996</v>
      </c>
      <c r="G295" s="199"/>
      <c r="H295" s="198">
        <f>778.94708</f>
        <v>778.94708000000003</v>
      </c>
      <c r="I295" s="145"/>
      <c r="J295" s="127"/>
    </row>
    <row r="296" spans="1:10" ht="14.1" customHeight="1" x14ac:dyDescent="0.2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244.2588</f>
        <v>244.25880000000001</v>
      </c>
      <c r="I296" s="145"/>
      <c r="J296" s="127"/>
    </row>
    <row r="297" spans="1:10" ht="14.1" customHeight="1" x14ac:dyDescent="0.25">
      <c r="A297" s="223"/>
      <c r="B297" s="69"/>
      <c r="C297" s="291" t="s">
        <v>106</v>
      </c>
      <c r="D297" s="9">
        <v>779</v>
      </c>
      <c r="E297" s="25">
        <f>SUM(E298:E299)</f>
        <v>18.137999999999998</v>
      </c>
      <c r="F297" s="25">
        <f>SUM(F298:F299)</f>
        <v>523.62869999999998</v>
      </c>
      <c r="G297" s="82">
        <f>D297-F297</f>
        <v>255.37130000000002</v>
      </c>
      <c r="H297" s="25">
        <f>SUM(H298:H299)</f>
        <v>787.63099999999997</v>
      </c>
      <c r="I297" s="26"/>
      <c r="J297" s="127"/>
    </row>
    <row r="298" spans="1:10" ht="14.1" customHeight="1" x14ac:dyDescent="0.25">
      <c r="A298" s="223"/>
      <c r="B298" s="69"/>
      <c r="C298" s="28" t="s">
        <v>8</v>
      </c>
      <c r="D298" s="41"/>
      <c r="E298" s="29">
        <f>15.841</f>
        <v>15.840999999999999</v>
      </c>
      <c r="F298" s="29">
        <f>408.5315</f>
        <v>408.53149999999999</v>
      </c>
      <c r="G298" s="94"/>
      <c r="H298" s="29">
        <f>613.63838</f>
        <v>613.63837999999998</v>
      </c>
      <c r="I298" s="145"/>
      <c r="J298" s="127"/>
    </row>
    <row r="299" spans="1:10" ht="14.1" customHeight="1" x14ac:dyDescent="0.25">
      <c r="A299" s="223"/>
      <c r="B299" s="69"/>
      <c r="C299" s="28" t="s">
        <v>11</v>
      </c>
      <c r="D299" s="248"/>
      <c r="E299" s="29">
        <f>2.297</f>
        <v>2.2970000000000002</v>
      </c>
      <c r="F299" s="29">
        <f>115.0972</f>
        <v>115.0972</v>
      </c>
      <c r="G299" s="105"/>
      <c r="H299" s="29">
        <f>173.99262</f>
        <v>173.99261999999999</v>
      </c>
      <c r="I299" s="145"/>
      <c r="J299" s="127"/>
    </row>
    <row r="300" spans="1:10" ht="14.1" customHeight="1" x14ac:dyDescent="0.25">
      <c r="A300" s="223"/>
      <c r="B300" s="69"/>
      <c r="C300" s="291" t="s">
        <v>107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" customHeight="1" x14ac:dyDescent="0.2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" customHeight="1" x14ac:dyDescent="0.25">
      <c r="A302" s="223"/>
      <c r="B302" s="69"/>
      <c r="C302" s="28" t="s">
        <v>11</v>
      </c>
      <c r="D302" s="248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" customHeight="1" x14ac:dyDescent="0.2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18.137999999999998</v>
      </c>
      <c r="F304" s="39">
        <f>F294+F297+F300+F303</f>
        <v>1448.7556299999999</v>
      </c>
      <c r="G304" s="40">
        <f>D304-F304</f>
        <v>889.24437000000012</v>
      </c>
      <c r="H304" s="39">
        <f>H294+H297+H300+H303</f>
        <v>1810.8368799999998</v>
      </c>
      <c r="I304" s="26"/>
      <c r="J304" s="127"/>
    </row>
    <row r="305" spans="1:10" ht="42" customHeight="1" x14ac:dyDescent="0.25">
      <c r="A305" s="223"/>
      <c r="B305" s="230"/>
      <c r="C305" s="330" t="s">
        <v>111</v>
      </c>
      <c r="D305" s="330"/>
      <c r="E305" s="330"/>
      <c r="F305" s="330"/>
      <c r="G305" s="330"/>
      <c r="H305" s="330"/>
      <c r="I305" s="330"/>
      <c r="J305" s="331"/>
    </row>
    <row r="306" spans="1:10" ht="42" customHeight="1" x14ac:dyDescent="0.2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25">
      <c r="A307" s="223"/>
      <c r="C307" s="145" t="s">
        <v>108</v>
      </c>
      <c r="D307" s="152"/>
    </row>
    <row r="308" spans="1:10" ht="15.6" customHeight="1" x14ac:dyDescent="0.2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8.95" customHeight="1" x14ac:dyDescent="0.2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00000000000001" customHeight="1" x14ac:dyDescent="0.2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2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8.95" customHeight="1" x14ac:dyDescent="0.2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5.95" customHeight="1" x14ac:dyDescent="0.2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45" customHeight="1" x14ac:dyDescent="0.2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8.95" customHeight="1" x14ac:dyDescent="0.2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5.95" customHeight="1" x14ac:dyDescent="0.25">
      <c r="A316" s="223"/>
      <c r="B316" s="69"/>
      <c r="C316" s="328" t="s">
        <v>155</v>
      </c>
      <c r="D316" s="328"/>
      <c r="E316" s="328"/>
      <c r="F316" s="328"/>
      <c r="G316" s="208"/>
      <c r="H316" s="208"/>
      <c r="I316" s="145"/>
      <c r="J316" s="127"/>
    </row>
    <row r="317" spans="1:10" ht="14.1" customHeight="1" x14ac:dyDescent="0.2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2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" customHeight="1" x14ac:dyDescent="0.2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2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2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600000000000001" customHeight="1" x14ac:dyDescent="0.25">
      <c r="A322" s="223"/>
      <c r="B322" s="69"/>
      <c r="C322" s="236" t="s">
        <v>133</v>
      </c>
      <c r="D322" s="237">
        <v>238</v>
      </c>
      <c r="E322" s="29">
        <f>2.46696</f>
        <v>2.4669599999999998</v>
      </c>
      <c r="F322" s="29">
        <f>41.64207</f>
        <v>41.642069999999997</v>
      </c>
      <c r="G322" s="238">
        <f>D322-F322</f>
        <v>196.35793000000001</v>
      </c>
      <c r="H322" s="29">
        <f>55.28536</f>
        <v>55.285359999999997</v>
      </c>
      <c r="I322" s="242"/>
      <c r="J322" s="127"/>
    </row>
    <row r="323" spans="1:10" ht="17.45" customHeight="1" x14ac:dyDescent="0.25">
      <c r="A323" s="223"/>
      <c r="B323" s="69"/>
      <c r="C323" s="239" t="s">
        <v>134</v>
      </c>
      <c r="D323" s="240">
        <v>21237</v>
      </c>
      <c r="E323" s="29">
        <f>7.78145</f>
        <v>7.7814500000000004</v>
      </c>
      <c r="F323" s="29">
        <f>57.46782</f>
        <v>57.467820000000003</v>
      </c>
      <c r="G323" s="241">
        <f>D323-F323</f>
        <v>21179.532179999998</v>
      </c>
      <c r="H323" s="29">
        <f>82.8657</f>
        <v>82.865700000000004</v>
      </c>
      <c r="I323" s="26"/>
      <c r="J323" s="127"/>
    </row>
    <row r="324" spans="1:10" ht="17.100000000000001" customHeight="1" x14ac:dyDescent="0.25">
      <c r="A324" s="223"/>
      <c r="B324" s="69"/>
      <c r="C324" s="310" t="s">
        <v>82</v>
      </c>
      <c r="D324" s="229">
        <f>D322+D323</f>
        <v>21475</v>
      </c>
      <c r="E324" s="39">
        <f>E323+E322</f>
        <v>10.24841</v>
      </c>
      <c r="F324" s="39">
        <f>F323+F322</f>
        <v>99.109890000000007</v>
      </c>
      <c r="G324" s="39">
        <f>G323+G322</f>
        <v>21375.890109999997</v>
      </c>
      <c r="H324" s="39">
        <f>H323+H322</f>
        <v>138.15106</v>
      </c>
      <c r="I324" s="26"/>
      <c r="J324" s="127"/>
    </row>
    <row r="325" spans="1:10" ht="22.5" customHeight="1" x14ac:dyDescent="0.25">
      <c r="A325" s="223"/>
      <c r="B325" s="69"/>
      <c r="C325" s="326" t="s">
        <v>156</v>
      </c>
      <c r="D325" s="326"/>
      <c r="E325" s="326"/>
      <c r="F325" s="326"/>
      <c r="G325" s="326"/>
      <c r="H325" s="326"/>
      <c r="I325" s="326"/>
      <c r="J325" s="327"/>
    </row>
    <row r="326" spans="1:10" ht="42" customHeight="1" x14ac:dyDescent="0.2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25"/>
    <row r="328" spans="1:10" ht="14.1" customHeight="1" x14ac:dyDescent="0.25">
      <c r="A328" s="223"/>
      <c r="C328" s="145" t="s">
        <v>108</v>
      </c>
      <c r="D328" s="152"/>
    </row>
    <row r="329" spans="1:10" ht="0" hidden="1" customHeight="1" x14ac:dyDescent="0.2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2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2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2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2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2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2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2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25">
      <c r="A337" s="223"/>
      <c r="B337" s="69"/>
      <c r="C337" s="325" t="s">
        <v>128</v>
      </c>
      <c r="D337" s="325"/>
      <c r="E337" s="325"/>
      <c r="F337" s="325"/>
      <c r="G337" s="208"/>
      <c r="H337" s="208"/>
      <c r="I337" s="145"/>
      <c r="J337" s="127"/>
    </row>
    <row r="338" spans="1:10" ht="0" hidden="1" customHeight="1" x14ac:dyDescent="0.2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2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2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2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2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2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2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2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25">
      <c r="A346" s="223"/>
      <c r="B346" s="69"/>
      <c r="C346" s="326" t="s">
        <v>135</v>
      </c>
      <c r="D346" s="326"/>
      <c r="E346" s="326"/>
      <c r="F346" s="326"/>
      <c r="G346" s="326"/>
      <c r="H346" s="326"/>
      <c r="I346" s="326"/>
      <c r="J346" s="327"/>
    </row>
    <row r="347" spans="1:10" ht="0" hidden="1" customHeight="1" x14ac:dyDescent="0.2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25"/>
    <row r="349" spans="1:10" ht="0" hidden="1" customHeight="1" x14ac:dyDescent="0.25"/>
    <row r="350" spans="1:10" ht="0" hidden="1" customHeight="1" x14ac:dyDescent="0.2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25"/>
    <row r="352" spans="1:10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13" ht="16.5" customHeight="1" x14ac:dyDescent="0.25"/>
  </sheetData>
  <mergeCells count="19"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6&amp;R09.02.2026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2026-02-09T09:33:20Z</dcterms:modified>
</cp:coreProperties>
</file>