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192400B8-31CF-4BDC-822E-4F5F55A79A4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1" l="1"/>
  <c r="G119" i="1"/>
  <c r="H345" i="1"/>
  <c r="G345" i="1"/>
  <c r="F345" i="1"/>
  <c r="E345" i="1"/>
  <c r="D345" i="1"/>
  <c r="G344" i="1"/>
  <c r="G343" i="1"/>
  <c r="E336" i="1"/>
  <c r="D324" i="1"/>
  <c r="H323" i="1"/>
  <c r="G323" i="1"/>
  <c r="G324" i="1" s="1"/>
  <c r="F323" i="1"/>
  <c r="E323" i="1"/>
  <c r="E324" i="1" s="1"/>
  <c r="H322" i="1"/>
  <c r="H324" i="1" s="1"/>
  <c r="G322" i="1"/>
  <c r="F322" i="1"/>
  <c r="F324" i="1" s="1"/>
  <c r="E322" i="1"/>
  <c r="E315" i="1"/>
  <c r="D315" i="1"/>
  <c r="D304" i="1"/>
  <c r="H303" i="1"/>
  <c r="F303" i="1"/>
  <c r="G303" i="1" s="1"/>
  <c r="E303" i="1"/>
  <c r="H302" i="1"/>
  <c r="F302" i="1"/>
  <c r="E302" i="1"/>
  <c r="H301" i="1"/>
  <c r="H300" i="1" s="1"/>
  <c r="F301" i="1"/>
  <c r="E301" i="1"/>
  <c r="E300" i="1" s="1"/>
  <c r="F300" i="1"/>
  <c r="G300" i="1" s="1"/>
  <c r="H299" i="1"/>
  <c r="F299" i="1"/>
  <c r="E299" i="1"/>
  <c r="H298" i="1"/>
  <c r="F298" i="1"/>
  <c r="E298" i="1"/>
  <c r="E297" i="1" s="1"/>
  <c r="H297" i="1"/>
  <c r="F297" i="1"/>
  <c r="G297" i="1" s="1"/>
  <c r="H296" i="1"/>
  <c r="F296" i="1"/>
  <c r="E296" i="1"/>
  <c r="H295" i="1"/>
  <c r="F295" i="1"/>
  <c r="F294" i="1" s="1"/>
  <c r="E295" i="1"/>
  <c r="H294" i="1"/>
  <c r="H304" i="1" s="1"/>
  <c r="E294" i="1"/>
  <c r="E304" i="1" s="1"/>
  <c r="E273" i="1"/>
  <c r="I272" i="1"/>
  <c r="H272" i="1"/>
  <c r="G272" i="1"/>
  <c r="F272" i="1"/>
  <c r="I271" i="1"/>
  <c r="G271" i="1"/>
  <c r="H271" i="1" s="1"/>
  <c r="F271" i="1"/>
  <c r="I270" i="1"/>
  <c r="G270" i="1"/>
  <c r="G268" i="1" s="1"/>
  <c r="H268" i="1" s="1"/>
  <c r="F270" i="1"/>
  <c r="I269" i="1"/>
  <c r="G269" i="1"/>
  <c r="F269" i="1"/>
  <c r="I268" i="1"/>
  <c r="F268" i="1"/>
  <c r="I267" i="1"/>
  <c r="G267" i="1"/>
  <c r="H267" i="1" s="1"/>
  <c r="F267" i="1"/>
  <c r="I266" i="1"/>
  <c r="G266" i="1"/>
  <c r="H266" i="1" s="1"/>
  <c r="F266" i="1"/>
  <c r="I265" i="1"/>
  <c r="G265" i="1"/>
  <c r="G262" i="1" s="1"/>
  <c r="G273" i="1" s="1"/>
  <c r="F265" i="1"/>
  <c r="I264" i="1"/>
  <c r="G264" i="1"/>
  <c r="H264" i="1" s="1"/>
  <c r="F264" i="1"/>
  <c r="I263" i="1"/>
  <c r="G263" i="1"/>
  <c r="H263" i="1" s="1"/>
  <c r="F263" i="1"/>
  <c r="I262" i="1"/>
  <c r="I273" i="1" s="1"/>
  <c r="F262" i="1"/>
  <c r="F273" i="1" s="1"/>
  <c r="E262" i="1"/>
  <c r="D262" i="1"/>
  <c r="D273" i="1" s="1"/>
  <c r="H254" i="1"/>
  <c r="F254" i="1"/>
  <c r="H241" i="1"/>
  <c r="D241" i="1"/>
  <c r="H240" i="1"/>
  <c r="G240" i="1"/>
  <c r="F240" i="1"/>
  <c r="E240" i="1"/>
  <c r="H239" i="1"/>
  <c r="F239" i="1"/>
  <c r="G239" i="1" s="1"/>
  <c r="E239" i="1"/>
  <c r="H238" i="1"/>
  <c r="G238" i="1"/>
  <c r="F238" i="1"/>
  <c r="E238" i="1"/>
  <c r="E241" i="1" s="1"/>
  <c r="H237" i="1"/>
  <c r="F237" i="1"/>
  <c r="F241" i="1" s="1"/>
  <c r="G241" i="1" s="1"/>
  <c r="E237" i="1"/>
  <c r="D219" i="1"/>
  <c r="H218" i="1"/>
  <c r="G218" i="1"/>
  <c r="F218" i="1"/>
  <c r="E218" i="1"/>
  <c r="H217" i="1"/>
  <c r="F217" i="1"/>
  <c r="E217" i="1"/>
  <c r="H216" i="1"/>
  <c r="H215" i="1" s="1"/>
  <c r="H219" i="1" s="1"/>
  <c r="F216" i="1"/>
  <c r="E216" i="1"/>
  <c r="E215" i="1" s="1"/>
  <c r="E219" i="1" s="1"/>
  <c r="F215" i="1"/>
  <c r="F219" i="1" s="1"/>
  <c r="G219" i="1" s="1"/>
  <c r="H206" i="1"/>
  <c r="D206" i="1"/>
  <c r="H205" i="1"/>
  <c r="G205" i="1"/>
  <c r="F205" i="1"/>
  <c r="E205" i="1"/>
  <c r="H204" i="1"/>
  <c r="F204" i="1"/>
  <c r="E204" i="1"/>
  <c r="H203" i="1"/>
  <c r="F203" i="1"/>
  <c r="F202" i="1" s="1"/>
  <c r="E203" i="1"/>
  <c r="E202" i="1" s="1"/>
  <c r="E206" i="1" s="1"/>
  <c r="H202" i="1"/>
  <c r="I192" i="1"/>
  <c r="E192" i="1"/>
  <c r="D192" i="1"/>
  <c r="I191" i="1"/>
  <c r="G191" i="1"/>
  <c r="H191" i="1" s="1"/>
  <c r="F191" i="1"/>
  <c r="I190" i="1"/>
  <c r="H190" i="1"/>
  <c r="G190" i="1"/>
  <c r="F190" i="1"/>
  <c r="F192" i="1" s="1"/>
  <c r="I189" i="1"/>
  <c r="G189" i="1"/>
  <c r="H189" i="1" s="1"/>
  <c r="F189" i="1"/>
  <c r="E169" i="1"/>
  <c r="D169" i="1"/>
  <c r="H168" i="1"/>
  <c r="G168" i="1"/>
  <c r="F168" i="1"/>
  <c r="E168" i="1"/>
  <c r="H167" i="1"/>
  <c r="F167" i="1"/>
  <c r="G167" i="1" s="1"/>
  <c r="E167" i="1"/>
  <c r="H166" i="1"/>
  <c r="F166" i="1"/>
  <c r="E166" i="1"/>
  <c r="H165" i="1"/>
  <c r="F165" i="1"/>
  <c r="F163" i="1" s="1"/>
  <c r="G163" i="1" s="1"/>
  <c r="E165" i="1"/>
  <c r="H164" i="1"/>
  <c r="H163" i="1" s="1"/>
  <c r="F164" i="1"/>
  <c r="E164" i="1"/>
  <c r="E163" i="1"/>
  <c r="H162" i="1"/>
  <c r="G162" i="1"/>
  <c r="F162" i="1"/>
  <c r="E162" i="1"/>
  <c r="H161" i="1"/>
  <c r="F161" i="1"/>
  <c r="E161" i="1"/>
  <c r="H160" i="1"/>
  <c r="H169" i="1" s="1"/>
  <c r="F160" i="1"/>
  <c r="E160" i="1"/>
  <c r="I135" i="1"/>
  <c r="G135" i="1"/>
  <c r="H135" i="1" s="1"/>
  <c r="F135" i="1"/>
  <c r="I134" i="1"/>
  <c r="G134" i="1"/>
  <c r="H134" i="1" s="1"/>
  <c r="F134" i="1"/>
  <c r="H133" i="1"/>
  <c r="I132" i="1"/>
  <c r="G132" i="1"/>
  <c r="H132" i="1" s="1"/>
  <c r="F132" i="1"/>
  <c r="I131" i="1"/>
  <c r="H131" i="1"/>
  <c r="G131" i="1"/>
  <c r="F131" i="1"/>
  <c r="I130" i="1"/>
  <c r="G130" i="1"/>
  <c r="H130" i="1" s="1"/>
  <c r="F130" i="1"/>
  <c r="I129" i="1"/>
  <c r="H129" i="1"/>
  <c r="G129" i="1"/>
  <c r="F129" i="1"/>
  <c r="I128" i="1"/>
  <c r="G128" i="1"/>
  <c r="H128" i="1" s="1"/>
  <c r="F128" i="1"/>
  <c r="I127" i="1"/>
  <c r="I126" i="1" s="1"/>
  <c r="H127" i="1"/>
  <c r="H126" i="1" s="1"/>
  <c r="G127" i="1"/>
  <c r="F127" i="1"/>
  <c r="F126" i="1" s="1"/>
  <c r="G126" i="1"/>
  <c r="E126" i="1"/>
  <c r="D126" i="1"/>
  <c r="D120" i="1" s="1"/>
  <c r="I125" i="1"/>
  <c r="H125" i="1"/>
  <c r="F125" i="1"/>
  <c r="I124" i="1"/>
  <c r="G124" i="1"/>
  <c r="H124" i="1" s="1"/>
  <c r="F124" i="1"/>
  <c r="I123" i="1"/>
  <c r="H123" i="1"/>
  <c r="G123" i="1"/>
  <c r="F123" i="1"/>
  <c r="I122" i="1"/>
  <c r="I121" i="1" s="1"/>
  <c r="G122" i="1"/>
  <c r="G121" i="1" s="1"/>
  <c r="G120" i="1" s="1"/>
  <c r="F122" i="1"/>
  <c r="F121" i="1" s="1"/>
  <c r="F120" i="1" s="1"/>
  <c r="E121" i="1"/>
  <c r="E120" i="1" s="1"/>
  <c r="E137" i="1" s="1"/>
  <c r="D121" i="1"/>
  <c r="I119" i="1"/>
  <c r="H119" i="1"/>
  <c r="F119" i="1"/>
  <c r="I118" i="1"/>
  <c r="H118" i="1"/>
  <c r="G118" i="1"/>
  <c r="F118" i="1"/>
  <c r="I117" i="1"/>
  <c r="G117" i="1"/>
  <c r="H117" i="1" s="1"/>
  <c r="F117" i="1"/>
  <c r="I116" i="1"/>
  <c r="H116" i="1"/>
  <c r="G116" i="1"/>
  <c r="F116" i="1"/>
  <c r="I115" i="1"/>
  <c r="G115" i="1"/>
  <c r="F115" i="1"/>
  <c r="F137" i="1" s="1"/>
  <c r="E115" i="1"/>
  <c r="D115" i="1"/>
  <c r="D137" i="1" s="1"/>
  <c r="C113" i="1"/>
  <c r="I93" i="1"/>
  <c r="G93" i="1"/>
  <c r="H93" i="1" s="1"/>
  <c r="F93" i="1"/>
  <c r="I92" i="1"/>
  <c r="G92" i="1"/>
  <c r="H92" i="1" s="1"/>
  <c r="F92" i="1"/>
  <c r="I91" i="1"/>
  <c r="G91" i="1"/>
  <c r="H91" i="1" s="1"/>
  <c r="F91" i="1"/>
  <c r="I90" i="1"/>
  <c r="G90" i="1"/>
  <c r="H90" i="1" s="1"/>
  <c r="F90" i="1"/>
  <c r="I89" i="1"/>
  <c r="G89" i="1"/>
  <c r="H89" i="1" s="1"/>
  <c r="F89" i="1"/>
  <c r="I88" i="1"/>
  <c r="G88" i="1"/>
  <c r="H88" i="1" s="1"/>
  <c r="F88" i="1"/>
  <c r="I87" i="1"/>
  <c r="G87" i="1"/>
  <c r="H87" i="1" s="1"/>
  <c r="F87" i="1"/>
  <c r="I86" i="1"/>
  <c r="G86" i="1"/>
  <c r="H86" i="1" s="1"/>
  <c r="F86" i="1"/>
  <c r="I85" i="1"/>
  <c r="I83" i="1" s="1"/>
  <c r="I82" i="1" s="1"/>
  <c r="G85" i="1"/>
  <c r="H85" i="1" s="1"/>
  <c r="F85" i="1"/>
  <c r="I84" i="1"/>
  <c r="G84" i="1"/>
  <c r="G83" i="1" s="1"/>
  <c r="G82" i="1" s="1"/>
  <c r="F84" i="1"/>
  <c r="F83" i="1"/>
  <c r="F82" i="1" s="1"/>
  <c r="E83" i="1"/>
  <c r="D83" i="1"/>
  <c r="E82" i="1"/>
  <c r="D82" i="1"/>
  <c r="D94" i="1" s="1"/>
  <c r="I81" i="1"/>
  <c r="G81" i="1"/>
  <c r="H81" i="1" s="1"/>
  <c r="H79" i="1" s="1"/>
  <c r="F81" i="1"/>
  <c r="I80" i="1"/>
  <c r="I79" i="1" s="1"/>
  <c r="I94" i="1" s="1"/>
  <c r="G80" i="1"/>
  <c r="H80" i="1" s="1"/>
  <c r="F80" i="1"/>
  <c r="F79" i="1" s="1"/>
  <c r="G79" i="1"/>
  <c r="E79" i="1"/>
  <c r="E94" i="1" s="1"/>
  <c r="D79" i="1"/>
  <c r="C76" i="1"/>
  <c r="H72" i="1"/>
  <c r="F72" i="1"/>
  <c r="D72" i="1"/>
  <c r="H58" i="1"/>
  <c r="H57" i="1"/>
  <c r="I52" i="1"/>
  <c r="G52" i="1"/>
  <c r="H52" i="1" s="1"/>
  <c r="F52" i="1"/>
  <c r="F31" i="1" s="1"/>
  <c r="F26" i="1" s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I34" i="1"/>
  <c r="I33" i="1" s="1"/>
  <c r="I25" i="1" s="1"/>
  <c r="G34" i="1"/>
  <c r="H34" i="1" s="1"/>
  <c r="F34" i="1"/>
  <c r="F33" i="1" s="1"/>
  <c r="G33" i="1"/>
  <c r="G25" i="1" s="1"/>
  <c r="E33" i="1"/>
  <c r="D33" i="1"/>
  <c r="I32" i="1"/>
  <c r="G32" i="1"/>
  <c r="H32" i="1" s="1"/>
  <c r="F32" i="1"/>
  <c r="I31" i="1"/>
  <c r="G31" i="1"/>
  <c r="H31" i="1" s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7" i="1"/>
  <c r="I26" i="1" s="1"/>
  <c r="G27" i="1"/>
  <c r="G26" i="1" s="1"/>
  <c r="F27" i="1"/>
  <c r="E26" i="1"/>
  <c r="E25" i="1" s="1"/>
  <c r="D26" i="1"/>
  <c r="D25" i="1"/>
  <c r="I24" i="1"/>
  <c r="G24" i="1"/>
  <c r="H24" i="1" s="1"/>
  <c r="H22" i="1" s="1"/>
  <c r="F24" i="1"/>
  <c r="I23" i="1"/>
  <c r="G23" i="1"/>
  <c r="H23" i="1" s="1"/>
  <c r="F23" i="1"/>
  <c r="F22" i="1" s="1"/>
  <c r="I22" i="1"/>
  <c r="G22" i="1"/>
  <c r="E22" i="1"/>
  <c r="E42" i="1" s="1"/>
  <c r="D22" i="1"/>
  <c r="D42" i="1" s="1"/>
  <c r="H16" i="1"/>
  <c r="F16" i="1"/>
  <c r="D16" i="1"/>
  <c r="G137" i="1" l="1"/>
  <c r="I42" i="1"/>
  <c r="F25" i="1"/>
  <c r="F42" i="1" s="1"/>
  <c r="F169" i="1"/>
  <c r="G169" i="1" s="1"/>
  <c r="G42" i="1"/>
  <c r="I137" i="1"/>
  <c r="G304" i="1"/>
  <c r="H192" i="1"/>
  <c r="F304" i="1"/>
  <c r="G294" i="1"/>
  <c r="G94" i="1"/>
  <c r="F94" i="1"/>
  <c r="G202" i="1"/>
  <c r="F206" i="1"/>
  <c r="G206" i="1" s="1"/>
  <c r="H115" i="1"/>
  <c r="I120" i="1"/>
  <c r="H27" i="1"/>
  <c r="H26" i="1" s="1"/>
  <c r="H84" i="1"/>
  <c r="H83" i="1" s="1"/>
  <c r="H82" i="1" s="1"/>
  <c r="H94" i="1" s="1"/>
  <c r="G192" i="1"/>
  <c r="G215" i="1"/>
  <c r="H265" i="1"/>
  <c r="H262" i="1" s="1"/>
  <c r="H273" i="1" s="1"/>
  <c r="H122" i="1"/>
  <c r="H121" i="1" s="1"/>
  <c r="H120" i="1" s="1"/>
  <c r="H33" i="1"/>
  <c r="G237" i="1"/>
  <c r="G160" i="1"/>
  <c r="H25" i="1" l="1"/>
  <c r="H42" i="1" s="1"/>
  <c r="H137" i="1"/>
</calcChain>
</file>

<file path=xl/sharedStrings.xml><?xml version="1.0" encoding="utf-8"?>
<sst xmlns="http://schemas.openxmlformats.org/spreadsheetml/2006/main" count="392" uniqueCount="166">
  <si>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</si>
  <si>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</si>
  <si>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</si>
  <si>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</si>
  <si>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</si>
  <si>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</si>
  <si>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</si>
  <si>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</si>
  <si>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</si>
  <si>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</si>
  <si>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</si>
  <si>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</si>
  <si>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</si>
  <si>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</si>
  <si>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</si>
  <si>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</si>
  <si>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</si>
  <si>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</si>
  <si>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</si>
  <si>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</si>
  <si>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</si>
  <si>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</si>
  <si>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</si>
  <si>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</si>
  <si>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</si>
  <si>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</si>
  <si>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</si>
  <si>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</si>
  <si>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</si>
  <si>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</si>
  <si>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</si>
  <si>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</si>
  <si>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</si>
  <si>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</si>
  <si>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</si>
  <si>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</si>
  <si>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</si>
  <si>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</si>
  <si>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</si>
  <si>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</si>
  <si>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</si>
  <si>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</si>
  <si>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</si>
  <si>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</si>
  <si>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</si>
  <si>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</si>
  <si>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</si>
  <si>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</si>
  <si>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</si>
  <si>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</si>
  <si>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</si>
  <si>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</si>
  <si>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</si>
  <si>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</si>
  <si>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</si>
  <si>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</si>
  <si>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</si>
  <si>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</si>
  <si>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</si>
  <si>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</si>
  <si>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</si>
  <si>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</si>
  <si>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</si>
  <si>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</si>
  <si>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</si>
  <si>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</si>
  <si>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</si>
  <si>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</si>
  <si>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</si>
  <si>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</si>
  <si>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</si>
  <si>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</si>
  <si>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</si>
  <si>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</si>
  <si>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</si>
  <si>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</si>
  <si>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</si>
  <si>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</si>
  <si>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</si>
  <si>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</si>
  <si>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</si>
  <si>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</si>
  <si>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</si>
  <si>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</si>
  <si>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</si>
  <si>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</si>
  <si>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</si>
  <si>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</si>
  <si>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</si>
  <si>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</si>
  <si>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</si>
  <si>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</si>
  <si>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</si>
  <si>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</si>
  <si>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</si>
  <si>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</si>
  <si>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</si>
  <si>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</si>
  <si>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</si>
  <si>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</si>
  <si>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</si>
  <si>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</si>
  <si>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</si>
  <si>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</si>
  <si>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</si>
  <si>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</si>
  <si>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</si>
  <si>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</si>
  <si>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</si>
  <si>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</si>
  <si>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</si>
  <si>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</si>
  <si>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</si>
  <si>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</si>
  <si>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</si>
  <si>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</si>
  <si>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</si>
  <si>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</si>
  <si>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</si>
  <si>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</si>
  <si>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</si>
  <si>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</si>
  <si>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</si>
  <si>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</si>
  <si>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</si>
  <si>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</si>
  <si>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</si>
  <si>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</si>
  <si>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</si>
  <si>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</si>
  <si>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</si>
  <si>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</si>
  <si>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</si>
  <si>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</si>
  <si>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</si>
  <si>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</si>
  <si>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</si>
  <si>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</si>
  <si>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FANGST AV TORSK, HYSE, SEI, BLÅKVEITE, SNABELUER, LANGE, BROSME OG REKER I 2026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</si>
  <si>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2 543 tonn avsatt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</si>
  <si>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2025.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</si>
  <si>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29.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</si>
  <si>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953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</si>
  <si>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2025</t>
    </r>
  </si>
  <si>
    <t>Avsetninger1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</si>
  <si>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156 tonn til forsknings- og undervisningskvoter, 2 000 tonn til fangst innenfor ungdomsfiskeordningen og rekreasjonsfiske, 350 tonn til agnformål og 1 652 tonn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</si>
  <si>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</si>
  <si>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5 230 tonn, periodekvote andre periode: 0 tonn, bifangstavsetning: 400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</si>
  <si>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46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</si>
  <si>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14 452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</si>
  <si>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2 836 tonn i Fiskevernsonen ved Svalbard og 4 082 tonn i internasjonalt farvann i Norskehavet. I tillegg er det avsatt 1 000 tonn snabeluer til EU-fartøys fiske. 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</si>
  <si>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</si>
  <si>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2025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</si>
  <si>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</si>
  <si>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2 124 tonn av den norske kvoten i Nordsjøen fiskes i Skagerrak.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</si>
  <si>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2 124 tonn av den norske kvoten i Nordsjøen fiskes i Skagerrak.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</si>
  <si>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1 397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</si>
  <si>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944 tonn er overført fra ubenyttet tredjelandskvoter til norsk totalkvote, hvorav 1 020 tonn til torsketrål, 308 til konvensjonelle havfiskefartøy, 554 tonn til lukket gruppe og 62 tonn til åpen gruppe </t>
    </r>
  </si>
  <si>
    <t>2 Registrert rekreasjonsfiske utgjør 37 tonn, men det legges til grunn at hele avsetningen tas</t>
  </si>
  <si>
    <t>4 Registrert rekreasjonsfiske utgjør 221 tonn, men det legges til grunn at hele avsetningen tas</t>
  </si>
  <si>
    <t>3 Registrert rekreasjonsfiske utgjør 659 tonn, men det legges til grunn at hele avsetningen tas</t>
  </si>
  <si>
    <t>FANGST UKE 25</t>
  </si>
  <si>
    <t>FANGST T.O.M UKE 25</t>
  </si>
  <si>
    <t>RESTKVOTER UKE 25</t>
  </si>
  <si>
    <t>FANGST T.O.M UKE 25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</si>
  <si>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700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</si>
</sst>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8" fillId="0" borderId="3" xfId="0" applyFont="1" applyBorder="1" applyAlignment="1">
      <alignment vertical="center"/>
    </xf>
    <xf numFmtId="0" fontId="11" fillId="0" borderId="32" xfId="0" applyFont="1" applyBorder="1" applyAlignment="1">
      <alignment vertical="top" wrapText="1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B133" zoomScale="115" zoomScaleNormal="115" zoomScaleSheetLayoutView="100" zoomScalePageLayoutView="85" workbookViewId="0">
      <selection activeCell="E143" sqref="E143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31" t="s">
        <v>138</v>
      </c>
      <c r="C2" s="332"/>
      <c r="D2" s="332"/>
      <c r="E2" s="332"/>
      <c r="F2" s="332"/>
      <c r="G2" s="332"/>
      <c r="H2" s="332"/>
      <c r="I2" s="332"/>
      <c r="J2" s="333"/>
    </row>
    <row r="3" spans="1:10" ht="14.9" customHeight="1" x14ac:dyDescent="0.3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34"/>
      <c r="C9" s="335"/>
      <c r="D9" s="335"/>
      <c r="E9" s="335"/>
      <c r="F9" s="335"/>
      <c r="G9" s="335"/>
      <c r="H9" s="335"/>
      <c r="I9" s="335"/>
      <c r="J9" s="336"/>
    </row>
    <row r="10" spans="1:10" ht="12" customHeight="1" x14ac:dyDescent="0.35">
      <c r="A10" s="1"/>
      <c r="B10" s="281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28" t="s">
        <v>1</v>
      </c>
      <c r="D11" s="329"/>
      <c r="E11" s="328" t="s">
        <v>2</v>
      </c>
      <c r="F11" s="329"/>
      <c r="G11" s="328" t="s">
        <v>3</v>
      </c>
      <c r="H11" s="329"/>
      <c r="I11" s="173"/>
      <c r="J11" s="271"/>
    </row>
    <row r="12" spans="1:10" ht="14.15" customHeight="1" x14ac:dyDescent="0.35">
      <c r="A12" s="1"/>
      <c r="B12" s="281"/>
      <c r="C12" s="96"/>
      <c r="D12" s="96"/>
      <c r="E12" s="96" t="s">
        <v>4</v>
      </c>
      <c r="F12" s="109">
        <v>32535</v>
      </c>
      <c r="G12" s="110" t="s">
        <v>5</v>
      </c>
      <c r="H12" s="109">
        <v>10717</v>
      </c>
      <c r="I12" s="173"/>
      <c r="J12" s="271"/>
    </row>
    <row r="13" spans="1:10" ht="15.75" customHeight="1" x14ac:dyDescent="0.35">
      <c r="A13" s="1"/>
      <c r="B13" s="281"/>
      <c r="C13" s="110" t="s">
        <v>79</v>
      </c>
      <c r="D13" s="114">
        <v>139827</v>
      </c>
      <c r="E13" s="110" t="s">
        <v>7</v>
      </c>
      <c r="F13" s="114">
        <v>92919</v>
      </c>
      <c r="G13" s="110" t="s">
        <v>8</v>
      </c>
      <c r="H13" s="114">
        <v>65860</v>
      </c>
      <c r="I13" s="173"/>
      <c r="J13" s="271"/>
    </row>
    <row r="14" spans="1:10" ht="14.25" customHeight="1" x14ac:dyDescent="0.35">
      <c r="A14" s="1"/>
      <c r="B14" s="281"/>
      <c r="C14" s="110" t="s">
        <v>9</v>
      </c>
      <c r="D14" s="114">
        <v>127827</v>
      </c>
      <c r="E14" s="110" t="s">
        <v>10</v>
      </c>
      <c r="F14" s="114">
        <v>14373</v>
      </c>
      <c r="G14" s="110" t="s">
        <v>11</v>
      </c>
      <c r="H14" s="114">
        <v>8392</v>
      </c>
      <c r="I14" s="173"/>
      <c r="J14" s="271"/>
    </row>
    <row r="15" spans="1:10" ht="15.75" customHeight="1" x14ac:dyDescent="0.35">
      <c r="A15" s="1"/>
      <c r="B15" s="281"/>
      <c r="C15" s="110" t="s">
        <v>69</v>
      </c>
      <c r="D15" s="114">
        <v>38346</v>
      </c>
      <c r="E15" s="161"/>
      <c r="F15" s="215"/>
      <c r="G15" s="161" t="s">
        <v>12</v>
      </c>
      <c r="H15" s="215">
        <v>7950</v>
      </c>
      <c r="I15" s="173"/>
      <c r="J15" s="271"/>
    </row>
    <row r="16" spans="1:10" ht="14.15" customHeight="1" x14ac:dyDescent="0.35">
      <c r="A16" s="1"/>
      <c r="B16" s="281"/>
      <c r="C16" s="172" t="s">
        <v>13</v>
      </c>
      <c r="D16" s="184">
        <f>SUM(D13:D15)</f>
        <v>306000</v>
      </c>
      <c r="E16" s="172" t="s">
        <v>14</v>
      </c>
      <c r="F16" s="184">
        <f>SUM(F12:F15)</f>
        <v>139827</v>
      </c>
      <c r="G16" s="172" t="s">
        <v>7</v>
      </c>
      <c r="H16" s="184">
        <f>SUM(H12:H15)</f>
        <v>92919</v>
      </c>
      <c r="J16" s="271"/>
    </row>
    <row r="17" spans="1:10" x14ac:dyDescent="0.35">
      <c r="A17" s="101"/>
      <c r="B17" s="24"/>
      <c r="C17" s="321"/>
      <c r="D17" s="321"/>
      <c r="E17" s="321"/>
      <c r="F17" s="321"/>
      <c r="G17" s="321"/>
      <c r="H17" s="321"/>
      <c r="I17" s="101"/>
      <c r="J17" s="157"/>
    </row>
    <row r="18" spans="1:10" ht="15" customHeight="1" x14ac:dyDescent="0.35">
      <c r="A18" s="1"/>
      <c r="B18" s="281"/>
      <c r="C18" s="216"/>
      <c r="D18" s="216"/>
      <c r="E18" s="217"/>
      <c r="F18" s="216"/>
      <c r="G18" s="216"/>
      <c r="H18" s="216"/>
      <c r="I18" s="216"/>
      <c r="J18" s="316"/>
    </row>
    <row r="19" spans="1:10" ht="15" customHeight="1" x14ac:dyDescent="0.35">
      <c r="A19" s="1"/>
      <c r="B19" s="281"/>
      <c r="C19" s="17" t="s">
        <v>15</v>
      </c>
      <c r="D19" s="216"/>
      <c r="E19" s="217"/>
      <c r="F19" s="216"/>
      <c r="G19" s="216"/>
      <c r="H19" s="196"/>
      <c r="I19" s="216"/>
      <c r="J19" s="316"/>
    </row>
    <row r="20" spans="1:10" ht="12" customHeight="1" x14ac:dyDescent="0.35">
      <c r="A20" s="1"/>
      <c r="B20" s="281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5"/>
    </row>
    <row r="22" spans="1:10" ht="14.15" customHeight="1" x14ac:dyDescent="0.35">
      <c r="A22" s="1"/>
      <c r="B22" s="281"/>
      <c r="C22" s="15" t="s">
        <v>19</v>
      </c>
      <c r="D22" s="27">
        <f>D23+D24</f>
        <v>32535</v>
      </c>
      <c r="E22" s="27">
        <f>E23+E24</f>
        <v>33432</v>
      </c>
      <c r="F22" s="27">
        <f t="shared" ref="F22:I22" si="0">F24+F23</f>
        <v>93.671999999999997</v>
      </c>
      <c r="G22" s="27">
        <f t="shared" si="0"/>
        <v>15221.68561</v>
      </c>
      <c r="H22" s="10">
        <f>H24+H23</f>
        <v>18210.31439</v>
      </c>
      <c r="I22" s="10">
        <f t="shared" si="0"/>
        <v>19843.56897</v>
      </c>
      <c r="J22" s="271"/>
    </row>
    <row r="23" spans="1:10" ht="14.15" customHeight="1" x14ac:dyDescent="0.35">
      <c r="A23" s="1"/>
      <c r="B23" s="281"/>
      <c r="C23" s="43" t="s">
        <v>20</v>
      </c>
      <c r="D23" s="44">
        <v>31785</v>
      </c>
      <c r="E23" s="44">
        <v>32689</v>
      </c>
      <c r="F23" s="22">
        <f>93.672</f>
        <v>93.671999999999997</v>
      </c>
      <c r="G23" s="22">
        <f>14824.02061</f>
        <v>14824.02061</v>
      </c>
      <c r="H23" s="22">
        <f>E23-G23</f>
        <v>17864.97939</v>
      </c>
      <c r="I23" s="22">
        <f>19532.83332</f>
        <v>19532.833320000002</v>
      </c>
      <c r="J23" s="271"/>
    </row>
    <row r="24" spans="1:10" ht="14.15" customHeight="1" x14ac:dyDescent="0.35">
      <c r="A24" s="1"/>
      <c r="B24" s="281"/>
      <c r="C24" s="47" t="s">
        <v>21</v>
      </c>
      <c r="D24" s="218">
        <v>750</v>
      </c>
      <c r="E24" s="218">
        <v>743</v>
      </c>
      <c r="F24" s="165">
        <f>0</f>
        <v>0</v>
      </c>
      <c r="G24" s="22">
        <f>397.665</f>
        <v>397.66500000000002</v>
      </c>
      <c r="H24" s="22">
        <f>E24-G24</f>
        <v>345.33499999999998</v>
      </c>
      <c r="I24" s="22">
        <f>310.73565</f>
        <v>310.73565000000002</v>
      </c>
      <c r="J24" s="271"/>
    </row>
    <row r="25" spans="1:10" ht="14.15" customHeight="1" x14ac:dyDescent="0.35">
      <c r="A25" s="1"/>
      <c r="B25" s="281"/>
      <c r="C25" s="15" t="s">
        <v>22</v>
      </c>
      <c r="D25" s="27">
        <f>D26+D32+D33</f>
        <v>95462</v>
      </c>
      <c r="E25" s="27">
        <f>E26+E32+E33</f>
        <v>98042</v>
      </c>
      <c r="F25" s="27">
        <f t="shared" ref="F25:I25" si="1">F33+F32+F26</f>
        <v>434.84261999999995</v>
      </c>
      <c r="G25" s="10">
        <f t="shared" si="1"/>
        <v>80265.408359999899</v>
      </c>
      <c r="H25" s="10">
        <f>H33+H32+H26</f>
        <v>17776.591640000101</v>
      </c>
      <c r="I25" s="10">
        <f t="shared" si="1"/>
        <v>97645.293870000009</v>
      </c>
      <c r="J25" s="271"/>
    </row>
    <row r="26" spans="1:10" ht="15" customHeight="1" x14ac:dyDescent="0.35">
      <c r="A26" s="49"/>
      <c r="B26" s="51"/>
      <c r="C26" s="54" t="s">
        <v>23</v>
      </c>
      <c r="D26" s="55">
        <f>D27+D28+D29+D30+D31</f>
        <v>75488</v>
      </c>
      <c r="E26" s="55">
        <f>E27+E28+E29+E30+E31</f>
        <v>77858</v>
      </c>
      <c r="F26" s="129">
        <f>F27+F28+F29+F30+F31</f>
        <v>329.49023999999997</v>
      </c>
      <c r="G26" s="129">
        <f>G27+G28+G29+G30+G31</f>
        <v>65414.670100000003</v>
      </c>
      <c r="H26" s="129">
        <f>H27+H28+H29+H30+H31</f>
        <v>12443.329900000001</v>
      </c>
      <c r="I26" s="129">
        <f t="shared" ref="I26" si="2">I27+I28+I29+I30+I31</f>
        <v>78292.135120000006</v>
      </c>
      <c r="J26" s="271"/>
    </row>
    <row r="27" spans="1:10" ht="14.15" customHeight="1" x14ac:dyDescent="0.35">
      <c r="A27" s="192"/>
      <c r="B27" s="176"/>
      <c r="C27" s="60" t="s">
        <v>24</v>
      </c>
      <c r="D27" s="61">
        <v>19164</v>
      </c>
      <c r="E27" s="61">
        <v>20868</v>
      </c>
      <c r="F27" s="209">
        <f>39.17578 - F53</f>
        <v>39.175780000000003</v>
      </c>
      <c r="G27" s="123">
        <f>19177.31839 - G53</f>
        <v>19177.31839</v>
      </c>
      <c r="H27" s="123">
        <f t="shared" ref="H27:H41" si="3">E27-G27</f>
        <v>1690.6816099999996</v>
      </c>
      <c r="I27" s="123">
        <f>22329.23157 - I53</f>
        <v>22329.23157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19036</v>
      </c>
      <c r="E28" s="61">
        <v>19720</v>
      </c>
      <c r="F28" s="123">
        <f>42.64182 - F54</f>
        <v>42.641820000000003</v>
      </c>
      <c r="G28" s="123">
        <f>18491.6116 - G54</f>
        <v>18491.6116</v>
      </c>
      <c r="H28" s="123">
        <f t="shared" si="3"/>
        <v>1228.3883999999998</v>
      </c>
      <c r="I28" s="123">
        <f>21715.22235 - I54</f>
        <v>21715.22235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17407</v>
      </c>
      <c r="E29" s="61">
        <v>17625</v>
      </c>
      <c r="F29" s="123">
        <f>198.84588 - F55</f>
        <v>198.84587999999999</v>
      </c>
      <c r="G29" s="123">
        <f>15669.61783 - G55</f>
        <v>15669.617829999999</v>
      </c>
      <c r="H29" s="123">
        <f t="shared" si="3"/>
        <v>1955.3821700000008</v>
      </c>
      <c r="I29" s="123">
        <f>20415.26527 - I55</f>
        <v>20415.26527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12796</v>
      </c>
      <c r="E30" s="61">
        <v>12954</v>
      </c>
      <c r="F30" s="123">
        <f>48.82676 - F56</f>
        <v>48.82676</v>
      </c>
      <c r="G30" s="123">
        <f>12076.12228 - G56</f>
        <v>12076.12228</v>
      </c>
      <c r="H30" s="123">
        <f t="shared" si="3"/>
        <v>877.87772000000041</v>
      </c>
      <c r="I30" s="123">
        <f>13832.41593 - I56</f>
        <v>13832.415929999999</v>
      </c>
      <c r="J30" s="63"/>
    </row>
    <row r="31" spans="1:10" ht="14.15" customHeight="1" x14ac:dyDescent="0.35">
      <c r="A31" s="192"/>
      <c r="B31" s="176"/>
      <c r="C31" s="60" t="s">
        <v>136</v>
      </c>
      <c r="D31" s="61">
        <v>7085</v>
      </c>
      <c r="E31" s="61">
        <v>6691</v>
      </c>
      <c r="F31" s="123">
        <f>F52</f>
        <v>0</v>
      </c>
      <c r="G31" s="123">
        <f>G52</f>
        <v>0</v>
      </c>
      <c r="H31" s="123">
        <f t="shared" si="3"/>
        <v>6691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28</v>
      </c>
      <c r="D32" s="55">
        <v>10717</v>
      </c>
      <c r="E32" s="55">
        <v>10907</v>
      </c>
      <c r="F32" s="129">
        <f>85.31145</f>
        <v>85.311449999999994</v>
      </c>
      <c r="G32" s="129">
        <f>5334.25234</f>
        <v>5334.25234</v>
      </c>
      <c r="H32" s="129">
        <f t="shared" si="3"/>
        <v>5572.74766</v>
      </c>
      <c r="I32" s="129">
        <f>8595.64168</f>
        <v>8595.6416800000006</v>
      </c>
      <c r="J32" s="63"/>
    </row>
    <row r="33" spans="1:10" ht="14.15" customHeight="1" x14ac:dyDescent="0.35">
      <c r="A33" s="64"/>
      <c r="B33" s="51"/>
      <c r="C33" s="54" t="s">
        <v>29</v>
      </c>
      <c r="D33" s="55">
        <f>D34+D35</f>
        <v>9257</v>
      </c>
      <c r="E33" s="55">
        <f>E34+E35</f>
        <v>9277</v>
      </c>
      <c r="F33" s="129">
        <f>F34+F35</f>
        <v>20.040930000000003</v>
      </c>
      <c r="G33" s="129">
        <f>G34+G35</f>
        <v>9516.4859199998991</v>
      </c>
      <c r="H33" s="129">
        <f t="shared" si="3"/>
        <v>-239.48591999989912</v>
      </c>
      <c r="I33" s="129">
        <f>I34+I35</f>
        <v>10757.51707</v>
      </c>
      <c r="J33" s="63"/>
    </row>
    <row r="34" spans="1:10" ht="14.15" customHeight="1" x14ac:dyDescent="0.35">
      <c r="A34" s="192"/>
      <c r="B34" s="176"/>
      <c r="C34" s="60" t="s">
        <v>30</v>
      </c>
      <c r="D34" s="61">
        <v>8392</v>
      </c>
      <c r="E34" s="61">
        <v>8412</v>
      </c>
      <c r="F34" s="123">
        <f>37.04093 - F57 - F58</f>
        <v>20.040930000000003</v>
      </c>
      <c r="G34" s="129">
        <f>12058.4859199999 - G57 - G58</f>
        <v>9516.4859199998991</v>
      </c>
      <c r="H34" s="123">
        <f t="shared" si="3"/>
        <v>-1104.4859199998991</v>
      </c>
      <c r="I34" s="123">
        <f>12593.51707 - I57 - I58</f>
        <v>10757.51707</v>
      </c>
      <c r="J34" s="63"/>
    </row>
    <row r="35" spans="1:10" ht="14.15" customHeight="1" x14ac:dyDescent="0.35">
      <c r="A35" s="192"/>
      <c r="B35" s="176"/>
      <c r="C35" s="66" t="s">
        <v>31</v>
      </c>
      <c r="D35" s="220">
        <v>865</v>
      </c>
      <c r="E35" s="220">
        <v>865</v>
      </c>
      <c r="F35" s="67">
        <f>F57</f>
        <v>0</v>
      </c>
      <c r="G35" s="67">
        <f>G57</f>
        <v>0</v>
      </c>
      <c r="H35" s="67">
        <f t="shared" si="3"/>
        <v>865</v>
      </c>
      <c r="I35" s="67">
        <f>I57</f>
        <v>0</v>
      </c>
      <c r="J35" s="63"/>
    </row>
    <row r="36" spans="1:10" ht="15.75" customHeight="1" x14ac:dyDescent="0.35">
      <c r="A36" s="1"/>
      <c r="B36" s="281"/>
      <c r="C36" s="70" t="s">
        <v>32</v>
      </c>
      <c r="D36" s="140">
        <v>500</v>
      </c>
      <c r="E36" s="140">
        <v>500</v>
      </c>
      <c r="F36" s="136">
        <f>0</f>
        <v>0</v>
      </c>
      <c r="G36" s="136">
        <f>478.1416</f>
        <v>478.14159999999998</v>
      </c>
      <c r="H36" s="136">
        <f t="shared" si="3"/>
        <v>21.858400000000017</v>
      </c>
      <c r="I36" s="136">
        <f>275.6768</f>
        <v>275.67680000000001</v>
      </c>
      <c r="J36" s="271"/>
    </row>
    <row r="37" spans="1:10" ht="14.15" customHeight="1" x14ac:dyDescent="0.35">
      <c r="A37" s="1"/>
      <c r="B37" s="281"/>
      <c r="C37" s="70" t="s">
        <v>33</v>
      </c>
      <c r="D37" s="140">
        <v>880</v>
      </c>
      <c r="E37" s="140">
        <v>880</v>
      </c>
      <c r="F37" s="95">
        <f>1.165</f>
        <v>1.165</v>
      </c>
      <c r="G37" s="95">
        <f>543.9401</f>
        <v>543.94010000000003</v>
      </c>
      <c r="H37" s="95">
        <f t="shared" si="3"/>
        <v>336.05989999999997</v>
      </c>
      <c r="I37" s="95">
        <f>563.21211</f>
        <v>563.21211000000005</v>
      </c>
      <c r="J37" s="271"/>
    </row>
    <row r="38" spans="1:10" ht="17.25" customHeight="1" x14ac:dyDescent="0.35">
      <c r="A38" s="1"/>
      <c r="B38" s="281"/>
      <c r="C38" s="70" t="s">
        <v>34</v>
      </c>
      <c r="D38" s="140">
        <v>3000</v>
      </c>
      <c r="E38" s="140">
        <v>3000</v>
      </c>
      <c r="F38" s="95">
        <f>F58</f>
        <v>17</v>
      </c>
      <c r="G38" s="95">
        <f>G58</f>
        <v>2542</v>
      </c>
      <c r="H38" s="95">
        <f t="shared" si="3"/>
        <v>458</v>
      </c>
      <c r="I38" s="95">
        <f>I58</f>
        <v>1836</v>
      </c>
      <c r="J38" s="271"/>
    </row>
    <row r="39" spans="1:10" ht="17.25" customHeight="1" x14ac:dyDescent="0.35">
      <c r="A39" s="1"/>
      <c r="B39" s="281"/>
      <c r="C39" s="70" t="s">
        <v>35</v>
      </c>
      <c r="D39" s="140">
        <v>7000</v>
      </c>
      <c r="E39" s="140">
        <v>7000</v>
      </c>
      <c r="F39" s="95">
        <f>13.67291</f>
        <v>13.67291</v>
      </c>
      <c r="G39" s="95">
        <f>E39</f>
        <v>7000</v>
      </c>
      <c r="H39" s="95">
        <f t="shared" si="3"/>
        <v>0</v>
      </c>
      <c r="I39" s="95">
        <f>E39</f>
        <v>7000</v>
      </c>
      <c r="J39" s="271"/>
    </row>
    <row r="40" spans="1:10" ht="17.25" customHeight="1" x14ac:dyDescent="0.35">
      <c r="A40" s="1"/>
      <c r="B40" s="281"/>
      <c r="C40" s="70" t="s">
        <v>37</v>
      </c>
      <c r="D40" s="140">
        <v>450</v>
      </c>
      <c r="E40" s="140">
        <v>450</v>
      </c>
      <c r="F40" s="95">
        <f>0.908</f>
        <v>0.90800000000000003</v>
      </c>
      <c r="G40" s="95">
        <f>393.58049</f>
        <v>393.58049</v>
      </c>
      <c r="H40" s="95">
        <f t="shared" si="3"/>
        <v>56.419510000000002</v>
      </c>
      <c r="I40" s="95">
        <f>364.47147</f>
        <v>364.47147000000001</v>
      </c>
      <c r="J40" s="271"/>
    </row>
    <row r="41" spans="1:10" ht="14.15" customHeight="1" x14ac:dyDescent="0.35">
      <c r="A41" s="1"/>
      <c r="B41" s="281"/>
      <c r="C41" s="70" t="s">
        <v>38</v>
      </c>
      <c r="D41" s="140"/>
      <c r="E41" s="136"/>
      <c r="F41" s="136">
        <f>0</f>
        <v>0</v>
      </c>
      <c r="G41" s="136">
        <f>51.26398</f>
        <v>51.263979999999997</v>
      </c>
      <c r="H41" s="136">
        <f t="shared" si="3"/>
        <v>-51.263979999999997</v>
      </c>
      <c r="I41" s="136">
        <f>66.51518</f>
        <v>66.515180000000001</v>
      </c>
      <c r="J41" s="271"/>
    </row>
    <row r="42" spans="1:10" ht="16.5" customHeight="1" x14ac:dyDescent="0.35">
      <c r="A42" s="1"/>
      <c r="B42" s="281"/>
      <c r="C42" s="71" t="s">
        <v>39</v>
      </c>
      <c r="D42" s="73">
        <f>D22+D25+D36+D37+D38+D39+D40+D41</f>
        <v>139827</v>
      </c>
      <c r="E42" s="73">
        <f>E22+E25+E36+E37+E38+E39+E40+E41</f>
        <v>143304</v>
      </c>
      <c r="F42" s="73">
        <f t="shared" ref="F42:I42" si="4">F22+F25+F36+F37+F38+F39+F40+F41</f>
        <v>561.2605299999999</v>
      </c>
      <c r="G42" s="73">
        <f t="shared" si="4"/>
        <v>106496.02013999991</v>
      </c>
      <c r="H42" s="73">
        <f>H22+H25+H36+H37+H38+H39+H40+H41</f>
        <v>36807.979860000094</v>
      </c>
      <c r="I42" s="73">
        <f t="shared" si="4"/>
        <v>127594.73840000002</v>
      </c>
      <c r="J42" s="271"/>
    </row>
    <row r="43" spans="1:10" ht="14.15" customHeight="1" x14ac:dyDescent="0.35">
      <c r="A43" s="101"/>
      <c r="B43" s="24"/>
      <c r="C43" s="74" t="s">
        <v>139</v>
      </c>
      <c r="D43" s="216"/>
      <c r="E43" s="216"/>
      <c r="F43" s="76"/>
      <c r="G43" s="76"/>
      <c r="H43" s="255"/>
      <c r="I43" s="255"/>
      <c r="J43" s="77"/>
    </row>
    <row r="44" spans="1:10" ht="14.15" customHeight="1" x14ac:dyDescent="0.35">
      <c r="A44" s="101"/>
      <c r="B44" s="24"/>
      <c r="C44" s="78" t="s">
        <v>135</v>
      </c>
      <c r="D44" s="216"/>
      <c r="E44" s="216"/>
      <c r="F44" s="216"/>
      <c r="G44" s="76"/>
      <c r="H44" s="173"/>
      <c r="I44" s="173"/>
      <c r="J44" s="271"/>
    </row>
    <row r="45" spans="1:10" ht="14.15" customHeight="1" x14ac:dyDescent="0.3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140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8"/>
      <c r="C48" s="298"/>
      <c r="D48" s="298"/>
      <c r="E48" s="106"/>
      <c r="F48" s="298"/>
      <c r="G48" s="298"/>
      <c r="H48" s="298"/>
      <c r="I48" s="298"/>
      <c r="J48" s="178"/>
    </row>
    <row r="49" spans="1:10" ht="33" customHeight="1" x14ac:dyDescent="0.35">
      <c r="A49" s="101"/>
      <c r="B49" s="24"/>
      <c r="C49" s="324" t="s">
        <v>137</v>
      </c>
      <c r="D49" s="324"/>
      <c r="E49" s="324"/>
      <c r="F49" s="324"/>
      <c r="G49" s="324"/>
      <c r="H49" s="324"/>
      <c r="I49" s="80"/>
      <c r="J49" s="81"/>
    </row>
    <row r="50" spans="1:10" ht="16.5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41</v>
      </c>
      <c r="E51" s="68" t="s">
        <v>117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71"/>
    </row>
    <row r="52" spans="1:10" ht="14.15" customHeight="1" x14ac:dyDescent="0.35">
      <c r="A52" s="101"/>
      <c r="B52" s="24"/>
      <c r="C52" s="15" t="s">
        <v>42</v>
      </c>
      <c r="D52" s="325">
        <v>7085</v>
      </c>
      <c r="E52" s="325">
        <v>6691</v>
      </c>
      <c r="F52" s="10">
        <f>F56+F55+F54+F53</f>
        <v>0</v>
      </c>
      <c r="G52" s="10">
        <f>G56+G55+G54+G53</f>
        <v>0</v>
      </c>
      <c r="H52" s="325">
        <f>E52-G52</f>
        <v>6691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326"/>
      <c r="E53" s="326"/>
      <c r="F53" s="123"/>
      <c r="G53" s="123"/>
      <c r="H53" s="326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326"/>
      <c r="E54" s="326"/>
      <c r="F54" s="123"/>
      <c r="G54" s="123"/>
      <c r="H54" s="326"/>
      <c r="I54" s="123"/>
      <c r="J54" s="271"/>
    </row>
    <row r="55" spans="1:10" ht="14.15" customHeight="1" x14ac:dyDescent="0.35">
      <c r="A55" s="101"/>
      <c r="B55" s="24"/>
      <c r="C55" s="60" t="s">
        <v>26</v>
      </c>
      <c r="D55" s="326"/>
      <c r="E55" s="326"/>
      <c r="F55" s="123"/>
      <c r="G55" s="123"/>
      <c r="H55" s="326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327"/>
      <c r="E56" s="327"/>
      <c r="F56" s="186"/>
      <c r="G56" s="186"/>
      <c r="H56" s="327"/>
      <c r="I56" s="186"/>
      <c r="J56" s="117"/>
    </row>
    <row r="57" spans="1:10" ht="14.15" customHeight="1" x14ac:dyDescent="0.35">
      <c r="A57" s="101"/>
      <c r="B57" s="24"/>
      <c r="C57" s="85" t="s">
        <v>43</v>
      </c>
      <c r="D57" s="92">
        <v>865</v>
      </c>
      <c r="E57" s="92">
        <v>865</v>
      </c>
      <c r="F57" s="92"/>
      <c r="G57" s="92"/>
      <c r="H57" s="92">
        <f>E57-G57</f>
        <v>865</v>
      </c>
      <c r="I57" s="92"/>
      <c r="J57" s="271"/>
    </row>
    <row r="58" spans="1:10" ht="14.15" customHeight="1" x14ac:dyDescent="0.35">
      <c r="A58" s="101"/>
      <c r="B58" s="24"/>
      <c r="C58" s="139" t="s">
        <v>44</v>
      </c>
      <c r="D58" s="136">
        <v>3000</v>
      </c>
      <c r="E58" s="136">
        <v>3000</v>
      </c>
      <c r="F58" s="136">
        <v>17</v>
      </c>
      <c r="G58" s="136">
        <v>2542</v>
      </c>
      <c r="H58" s="136">
        <f>E58-G58</f>
        <v>458</v>
      </c>
      <c r="I58" s="136">
        <v>1836</v>
      </c>
      <c r="J58" s="117"/>
    </row>
    <row r="59" spans="1:10" ht="14.15" customHeight="1" x14ac:dyDescent="0.35">
      <c r="A59" s="101"/>
      <c r="B59" s="24"/>
      <c r="C59" s="74" t="s">
        <v>141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13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28" t="s">
        <v>1</v>
      </c>
      <c r="D68" s="329"/>
      <c r="E68" s="328" t="s">
        <v>2</v>
      </c>
      <c r="F68" s="330"/>
      <c r="G68" s="328" t="s">
        <v>3</v>
      </c>
      <c r="H68" s="329"/>
      <c r="I68" s="173"/>
      <c r="J68" s="271"/>
    </row>
    <row r="69" spans="1:10" ht="15" customHeight="1" x14ac:dyDescent="0.35">
      <c r="B69" s="281"/>
      <c r="C69" s="110" t="s">
        <v>79</v>
      </c>
      <c r="D69" s="114">
        <v>76345</v>
      </c>
      <c r="E69" s="285" t="s">
        <v>4</v>
      </c>
      <c r="F69" s="109">
        <v>28395</v>
      </c>
      <c r="G69" s="185" t="s">
        <v>5</v>
      </c>
      <c r="H69" s="109">
        <v>8339</v>
      </c>
      <c r="I69" s="173"/>
      <c r="J69" s="271"/>
    </row>
    <row r="70" spans="1:10" ht="15" customHeight="1" x14ac:dyDescent="0.35">
      <c r="B70" s="281"/>
      <c r="C70" s="110" t="s">
        <v>9</v>
      </c>
      <c r="D70" s="114">
        <v>67345</v>
      </c>
      <c r="E70" s="275" t="s">
        <v>7</v>
      </c>
      <c r="F70" s="114">
        <v>46328</v>
      </c>
      <c r="G70" s="185" t="s">
        <v>8</v>
      </c>
      <c r="H70" s="114">
        <v>34283</v>
      </c>
      <c r="I70" s="173"/>
      <c r="J70" s="271"/>
    </row>
    <row r="71" spans="1:10" ht="14.15" customHeight="1" x14ac:dyDescent="0.35">
      <c r="B71" s="281"/>
      <c r="C71" s="110" t="s">
        <v>69</v>
      </c>
      <c r="D71" s="114">
        <v>9603</v>
      </c>
      <c r="E71" s="110" t="s">
        <v>10</v>
      </c>
      <c r="F71" s="114">
        <v>1622</v>
      </c>
      <c r="G71" s="185" t="s">
        <v>11</v>
      </c>
      <c r="H71" s="114">
        <v>3706</v>
      </c>
      <c r="I71" s="173"/>
      <c r="J71" s="271"/>
    </row>
    <row r="72" spans="1:10" ht="12" customHeight="1" x14ac:dyDescent="0.35">
      <c r="B72" s="281"/>
      <c r="C72" s="172" t="s">
        <v>46</v>
      </c>
      <c r="D72" s="184">
        <f>SUM(D69:D71)</f>
        <v>153293</v>
      </c>
      <c r="E72" s="172" t="s">
        <v>14</v>
      </c>
      <c r="F72" s="184">
        <f>SUM(F69:F71)</f>
        <v>76345</v>
      </c>
      <c r="G72" s="172" t="s">
        <v>7</v>
      </c>
      <c r="H72" s="184">
        <f>SUM(H69:H71)</f>
        <v>46328</v>
      </c>
      <c r="I72" s="173"/>
      <c r="J72" s="271"/>
    </row>
    <row r="73" spans="1:10" ht="14.25" customHeight="1" x14ac:dyDescent="0.35">
      <c r="A73" s="1"/>
      <c r="B73" s="281"/>
      <c r="C73" s="101" t="s">
        <v>157</v>
      </c>
      <c r="D73" s="244"/>
      <c r="E73" s="244"/>
      <c r="F73" s="244"/>
      <c r="G73" s="244"/>
      <c r="H73" s="244"/>
      <c r="I73" s="263"/>
      <c r="J73" s="117"/>
    </row>
    <row r="74" spans="1:10" ht="6" customHeight="1" x14ac:dyDescent="0.35">
      <c r="A74" s="1"/>
      <c r="B74" s="281"/>
      <c r="C74" s="93"/>
      <c r="D74" s="93"/>
      <c r="E74" s="93"/>
      <c r="F74" s="93"/>
      <c r="G74" s="93"/>
      <c r="H74" s="93"/>
      <c r="I74" s="263"/>
      <c r="J74" s="117"/>
    </row>
    <row r="75" spans="1:10" ht="14.15" customHeight="1" x14ac:dyDescent="0.35">
      <c r="A75" s="1"/>
      <c r="B75" s="135"/>
      <c r="C75" s="298"/>
      <c r="D75" s="106"/>
      <c r="E75" s="298"/>
      <c r="F75" s="298"/>
      <c r="G75" s="298"/>
      <c r="H75" s="298"/>
      <c r="I75" s="287"/>
      <c r="J75" s="178"/>
    </row>
    <row r="76" spans="1:10" ht="20.25" customHeight="1" x14ac:dyDescent="0.35">
      <c r="A76" s="1"/>
      <c r="B76" s="281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81"/>
      <c r="C77" s="315"/>
      <c r="D77" s="315"/>
      <c r="E77" s="315"/>
      <c r="F77" s="315"/>
      <c r="G77" s="315"/>
      <c r="H77" s="315"/>
      <c r="I77" s="315"/>
      <c r="J77" s="18"/>
    </row>
    <row r="78" spans="1:10" ht="54" customHeight="1" x14ac:dyDescent="0.35">
      <c r="A78" s="1"/>
      <c r="B78" s="281"/>
      <c r="C78" s="14" t="s">
        <v>16</v>
      </c>
      <c r="D78" s="113" t="s">
        <v>17</v>
      </c>
      <c r="E78" s="14" t="s">
        <v>47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5" customHeight="1" x14ac:dyDescent="0.35">
      <c r="A79" s="1"/>
      <c r="B79" s="281"/>
      <c r="C79" s="31" t="s">
        <v>19</v>
      </c>
      <c r="D79" s="27">
        <f>D80+D81</f>
        <v>28395</v>
      </c>
      <c r="E79" s="27">
        <f>E81+E80</f>
        <v>29899</v>
      </c>
      <c r="F79" s="10">
        <f t="shared" ref="F79:I79" si="5">F81+F80</f>
        <v>31.883600000000001</v>
      </c>
      <c r="G79" s="10">
        <f t="shared" si="5"/>
        <v>22253.776409999999</v>
      </c>
      <c r="H79" s="10">
        <f>H81+H80</f>
        <v>7645.2235900000014</v>
      </c>
      <c r="I79" s="10">
        <f t="shared" si="5"/>
        <v>19405.37918</v>
      </c>
      <c r="J79" s="271"/>
    </row>
    <row r="80" spans="1:10" ht="15" customHeight="1" x14ac:dyDescent="0.35">
      <c r="A80" s="1"/>
      <c r="B80" s="281"/>
      <c r="C80" s="43" t="s">
        <v>20</v>
      </c>
      <c r="D80" s="44">
        <v>27645</v>
      </c>
      <c r="E80" s="44">
        <v>29143</v>
      </c>
      <c r="F80" s="22">
        <f>31.8836</f>
        <v>31.883600000000001</v>
      </c>
      <c r="G80" s="22">
        <f>21716.82608</f>
        <v>21716.826079999999</v>
      </c>
      <c r="H80" s="22">
        <f>E80-G80</f>
        <v>7426.1739200000011</v>
      </c>
      <c r="I80" s="22">
        <f>18988.59596</f>
        <v>18988.595959999999</v>
      </c>
      <c r="J80" s="271"/>
    </row>
    <row r="81" spans="1:10" ht="14.15" customHeight="1" x14ac:dyDescent="0.35">
      <c r="A81" s="1"/>
      <c r="B81" s="281"/>
      <c r="C81" s="62" t="s">
        <v>21</v>
      </c>
      <c r="D81" s="218">
        <v>750</v>
      </c>
      <c r="E81" s="218">
        <v>756</v>
      </c>
      <c r="F81" s="48">
        <f>0</f>
        <v>0</v>
      </c>
      <c r="G81" s="48">
        <f>536.95033</f>
        <v>536.95033000000001</v>
      </c>
      <c r="H81" s="48">
        <f>E81-G81</f>
        <v>219.04966999999999</v>
      </c>
      <c r="I81" s="48">
        <f>416.78322</f>
        <v>416.78321999999997</v>
      </c>
      <c r="J81" s="271"/>
    </row>
    <row r="82" spans="1:10" ht="15.75" customHeight="1" x14ac:dyDescent="0.35">
      <c r="A82" s="1"/>
      <c r="B82" s="50"/>
      <c r="C82" s="15" t="s">
        <v>22</v>
      </c>
      <c r="D82" s="27">
        <f>D83+D88+D89</f>
        <v>47281</v>
      </c>
      <c r="E82" s="27">
        <f>E83+E88+E89</f>
        <v>51672</v>
      </c>
      <c r="F82" s="10">
        <f t="shared" ref="F82:I82" si="6">F83+F88+F89</f>
        <v>690.12394000000006</v>
      </c>
      <c r="G82" s="10">
        <f t="shared" si="6"/>
        <v>22624.599359999953</v>
      </c>
      <c r="H82" s="10">
        <f>H83+H88+H89</f>
        <v>29047.400640000043</v>
      </c>
      <c r="I82" s="10">
        <f t="shared" si="6"/>
        <v>24428.527859999969</v>
      </c>
      <c r="J82" s="271"/>
    </row>
    <row r="83" spans="1:10" ht="14.15" customHeight="1" x14ac:dyDescent="0.35">
      <c r="A83" s="1"/>
      <c r="B83" s="51"/>
      <c r="C83" s="54" t="s">
        <v>23</v>
      </c>
      <c r="D83" s="55">
        <f>D84+D85+D86+D87</f>
        <v>35236</v>
      </c>
      <c r="E83" s="55">
        <f>E87+E86+E85+E84</f>
        <v>38016</v>
      </c>
      <c r="F83" s="129">
        <f t="shared" ref="F83:I83" si="7">F84+F85+F86+F87</f>
        <v>579.96266000000003</v>
      </c>
      <c r="G83" s="129">
        <f t="shared" si="7"/>
        <v>17142.84128999996</v>
      </c>
      <c r="H83" s="129">
        <f>H84+H85+H86+H87</f>
        <v>20873.158710000036</v>
      </c>
      <c r="I83" s="129">
        <f t="shared" si="7"/>
        <v>18880.845269999951</v>
      </c>
      <c r="J83" s="271"/>
    </row>
    <row r="84" spans="1:10" ht="14.15" customHeight="1" x14ac:dyDescent="0.35">
      <c r="A84" s="192"/>
      <c r="B84" s="176"/>
      <c r="C84" s="60" t="s">
        <v>24</v>
      </c>
      <c r="D84" s="61">
        <v>9425</v>
      </c>
      <c r="E84" s="61">
        <v>10530</v>
      </c>
      <c r="F84" s="123">
        <f>31.76329</f>
        <v>31.763290000000001</v>
      </c>
      <c r="G84" s="123">
        <f>2728.13225999998</f>
        <v>2728.1322599999799</v>
      </c>
      <c r="H84" s="123">
        <f t="shared" ref="H84:H93" si="8">E84-G84</f>
        <v>7801.8677400000197</v>
      </c>
      <c r="I84" s="123">
        <f>2863.99596999997</f>
        <v>2863.9959699999699</v>
      </c>
      <c r="J84" s="271"/>
    </row>
    <row r="85" spans="1:10" ht="14.15" customHeight="1" x14ac:dyDescent="0.35">
      <c r="A85" s="192"/>
      <c r="B85" s="176"/>
      <c r="C85" s="60" t="s">
        <v>48</v>
      </c>
      <c r="D85" s="61">
        <v>9801</v>
      </c>
      <c r="E85" s="61">
        <v>10962</v>
      </c>
      <c r="F85" s="123">
        <f>87.90456</f>
        <v>87.904560000000004</v>
      </c>
      <c r="G85" s="123">
        <f>6159.16696999999</f>
        <v>6159.1669699999902</v>
      </c>
      <c r="H85" s="123">
        <f t="shared" si="8"/>
        <v>4802.8330300000098</v>
      </c>
      <c r="I85" s="123">
        <f>5225.05664999998</f>
        <v>5225.0566499999804</v>
      </c>
      <c r="J85" s="271"/>
    </row>
    <row r="86" spans="1:10" ht="14.15" customHeight="1" x14ac:dyDescent="0.35">
      <c r="A86" s="192"/>
      <c r="B86" s="176"/>
      <c r="C86" s="60" t="s">
        <v>49</v>
      </c>
      <c r="D86" s="61">
        <v>9599</v>
      </c>
      <c r="E86" s="61">
        <v>9908</v>
      </c>
      <c r="F86" s="123">
        <f>409.41917</f>
        <v>409.41917000000001</v>
      </c>
      <c r="G86" s="123">
        <f>4843.30694999999</f>
        <v>4843.3069499999901</v>
      </c>
      <c r="H86" s="123">
        <f t="shared" si="8"/>
        <v>5064.6930500000099</v>
      </c>
      <c r="I86" s="123">
        <f>6306.18149</f>
        <v>6306.1814899999999</v>
      </c>
      <c r="J86" s="271"/>
    </row>
    <row r="87" spans="1:10" ht="14.15" customHeight="1" x14ac:dyDescent="0.35">
      <c r="A87" s="192"/>
      <c r="B87" s="176"/>
      <c r="C87" s="60" t="s">
        <v>27</v>
      </c>
      <c r="D87" s="61">
        <v>6411</v>
      </c>
      <c r="E87" s="61">
        <v>6616</v>
      </c>
      <c r="F87" s="123">
        <f>50.87564</f>
        <v>50.875639999999997</v>
      </c>
      <c r="G87" s="123">
        <f>3412.23511</f>
        <v>3412.2351100000001</v>
      </c>
      <c r="H87" s="123">
        <f t="shared" si="8"/>
        <v>3203.7648899999999</v>
      </c>
      <c r="I87" s="123">
        <f>4485.61116</f>
        <v>4485.6111600000004</v>
      </c>
      <c r="J87" s="271"/>
    </row>
    <row r="88" spans="1:10" ht="14.15" customHeight="1" x14ac:dyDescent="0.35">
      <c r="A88" s="192"/>
      <c r="B88" s="176"/>
      <c r="C88" s="54" t="s">
        <v>50</v>
      </c>
      <c r="D88" s="55">
        <v>8339</v>
      </c>
      <c r="E88" s="55">
        <v>9513</v>
      </c>
      <c r="F88" s="129">
        <f>98.71131</f>
        <v>98.711309999999997</v>
      </c>
      <c r="G88" s="129">
        <f>4153.47259</f>
        <v>4153.4725900000003</v>
      </c>
      <c r="H88" s="129">
        <f t="shared" si="8"/>
        <v>5359.5274099999997</v>
      </c>
      <c r="I88" s="129">
        <f>4399.33382</f>
        <v>4399.3338199999998</v>
      </c>
      <c r="J88" s="271"/>
    </row>
    <row r="89" spans="1:10" ht="15.75" customHeight="1" x14ac:dyDescent="0.35">
      <c r="A89" s="1"/>
      <c r="B89" s="51"/>
      <c r="C89" s="37" t="s">
        <v>11</v>
      </c>
      <c r="D89" s="59">
        <v>3706</v>
      </c>
      <c r="E89" s="59">
        <v>4143</v>
      </c>
      <c r="F89" s="72">
        <f>11.44997</f>
        <v>11.44997</v>
      </c>
      <c r="G89" s="72">
        <f>1328.28547999999</f>
        <v>1328.28547999999</v>
      </c>
      <c r="H89" s="72">
        <f t="shared" si="8"/>
        <v>2814.71452000001</v>
      </c>
      <c r="I89" s="72">
        <f>1148.34877000002</f>
        <v>1148.3487700000201</v>
      </c>
      <c r="J89" s="271"/>
    </row>
    <row r="90" spans="1:10" ht="15.75" customHeight="1" x14ac:dyDescent="0.35">
      <c r="A90" s="1"/>
      <c r="B90" s="51"/>
      <c r="C90" s="70" t="s">
        <v>33</v>
      </c>
      <c r="D90" s="86">
        <v>319</v>
      </c>
      <c r="E90" s="86">
        <v>319</v>
      </c>
      <c r="F90" s="95">
        <f>0</f>
        <v>0</v>
      </c>
      <c r="G90" s="95">
        <f>11.61987</f>
        <v>11.619870000000001</v>
      </c>
      <c r="H90" s="95">
        <f t="shared" si="8"/>
        <v>307.38013000000001</v>
      </c>
      <c r="I90" s="95">
        <f>29.07267</f>
        <v>29.072669999999999</v>
      </c>
      <c r="J90" s="271"/>
    </row>
    <row r="91" spans="1:10" ht="18" customHeight="1" x14ac:dyDescent="0.35">
      <c r="A91" s="1"/>
      <c r="B91" s="281"/>
      <c r="C91" s="70" t="s">
        <v>51</v>
      </c>
      <c r="D91" s="140">
        <v>300</v>
      </c>
      <c r="E91" s="140">
        <v>300</v>
      </c>
      <c r="F91" s="136">
        <f>1.42121</f>
        <v>1.4212100000000001</v>
      </c>
      <c r="G91" s="136">
        <f>E91</f>
        <v>300</v>
      </c>
      <c r="H91" s="136">
        <f t="shared" si="8"/>
        <v>0</v>
      </c>
      <c r="I91" s="136">
        <f>E91</f>
        <v>300</v>
      </c>
      <c r="J91" s="271"/>
    </row>
    <row r="92" spans="1:10" ht="16.5" customHeight="1" x14ac:dyDescent="0.35">
      <c r="A92" s="1"/>
      <c r="B92" s="281"/>
      <c r="C92" s="89" t="s">
        <v>37</v>
      </c>
      <c r="D92" s="140">
        <v>50</v>
      </c>
      <c r="E92" s="140">
        <v>50</v>
      </c>
      <c r="F92" s="95">
        <f>0.06954</f>
        <v>6.9540000000000005E-2</v>
      </c>
      <c r="G92" s="95">
        <f>4.2469</f>
        <v>4.2469000000000001</v>
      </c>
      <c r="H92" s="136">
        <f t="shared" si="8"/>
        <v>45.753100000000003</v>
      </c>
      <c r="I92" s="95">
        <f>11.99994</f>
        <v>11.99994</v>
      </c>
      <c r="J92" s="271"/>
    </row>
    <row r="93" spans="1:10" ht="18" customHeight="1" x14ac:dyDescent="0.35">
      <c r="A93" s="1"/>
      <c r="B93" s="281"/>
      <c r="C93" s="89" t="s">
        <v>52</v>
      </c>
      <c r="D93" s="140"/>
      <c r="E93" s="136"/>
      <c r="F93" s="136">
        <f>0.239</f>
        <v>0.23899999999999999</v>
      </c>
      <c r="G93" s="136">
        <f>9.55662</f>
        <v>9.5566200000000006</v>
      </c>
      <c r="H93" s="136">
        <f t="shared" si="8"/>
        <v>-9.5566200000000006</v>
      </c>
      <c r="I93" s="136">
        <f>11.8549</f>
        <v>11.854900000000001</v>
      </c>
      <c r="J93" s="271"/>
    </row>
    <row r="94" spans="1:10" ht="16.5" customHeight="1" x14ac:dyDescent="0.35">
      <c r="A94" s="1"/>
      <c r="B94" s="281"/>
      <c r="C94" s="71" t="s">
        <v>39</v>
      </c>
      <c r="D94" s="73">
        <f>D79+D82+D90+D91+D92+D93</f>
        <v>76345</v>
      </c>
      <c r="E94" s="73">
        <f t="shared" ref="E94" si="9">E79+E82+E90+E91+E92+E93</f>
        <v>82240</v>
      </c>
      <c r="F94" s="73">
        <f t="shared" ref="F94:I94" si="10">F79+F82+F90+F91+F92+F93</f>
        <v>723.73729000000003</v>
      </c>
      <c r="G94" s="73">
        <f t="shared" si="10"/>
        <v>45203.799159999959</v>
      </c>
      <c r="H94" s="73">
        <f>H79+H82+H90+H91+H92+H93</f>
        <v>37036.200840000041</v>
      </c>
      <c r="I94" s="73">
        <f t="shared" si="10"/>
        <v>44186.83454999997</v>
      </c>
      <c r="J94" s="271"/>
    </row>
    <row r="95" spans="1:10" ht="13.5" customHeight="1" x14ac:dyDescent="0.35">
      <c r="A95" s="1"/>
      <c r="B95" s="281"/>
      <c r="C95" s="74" t="s">
        <v>142</v>
      </c>
      <c r="D95" s="97"/>
      <c r="E95" s="97"/>
      <c r="F95" s="98"/>
      <c r="G95" s="98"/>
      <c r="H95" s="100"/>
      <c r="I95" s="255"/>
      <c r="J95" s="271"/>
    </row>
    <row r="96" spans="1:10" ht="13.5" customHeight="1" x14ac:dyDescent="0.35">
      <c r="A96" s="1"/>
      <c r="B96" s="24"/>
      <c r="C96" s="156" t="s">
        <v>158</v>
      </c>
      <c r="D96" s="216"/>
      <c r="E96" s="216"/>
      <c r="F96" s="76"/>
      <c r="G96" s="76"/>
      <c r="H96" s="255"/>
      <c r="I96" s="255"/>
      <c r="J96" s="102"/>
    </row>
    <row r="97" spans="1:10" ht="15" customHeight="1" x14ac:dyDescent="0.35">
      <c r="A97" s="1"/>
      <c r="B97" s="24"/>
      <c r="C97" s="156" t="s">
        <v>143</v>
      </c>
      <c r="D97" s="216"/>
      <c r="E97" s="216"/>
      <c r="F97" s="76"/>
      <c r="G97" s="76"/>
      <c r="H97" s="255"/>
      <c r="I97" s="255"/>
      <c r="J97" s="102"/>
    </row>
    <row r="98" spans="1:10" ht="15" customHeight="1" x14ac:dyDescent="0.35">
      <c r="A98" s="1"/>
      <c r="B98" s="24"/>
      <c r="C98" s="255" t="s">
        <v>53</v>
      </c>
      <c r="D98" s="216"/>
      <c r="E98" s="216"/>
      <c r="F98" s="76"/>
      <c r="G98" s="76"/>
      <c r="H98" s="255"/>
      <c r="I98" s="255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108</v>
      </c>
      <c r="D100" s="255"/>
      <c r="E100" s="255"/>
      <c r="F100" s="255"/>
      <c r="G100" s="255"/>
      <c r="H100" s="255"/>
      <c r="I100" s="101"/>
      <c r="J100" s="101" t="s">
        <v>108</v>
      </c>
    </row>
    <row r="101" spans="1:10" ht="14.25" customHeight="1" x14ac:dyDescent="0.35">
      <c r="A101" s="1"/>
      <c r="B101" s="101"/>
      <c r="C101" s="101" t="s">
        <v>108</v>
      </c>
      <c r="D101" s="101" t="s">
        <v>108</v>
      </c>
      <c r="E101" s="101"/>
      <c r="F101" s="101"/>
      <c r="G101" s="101"/>
      <c r="H101" s="101"/>
      <c r="I101" s="101"/>
      <c r="J101" s="101" t="s">
        <v>108</v>
      </c>
    </row>
    <row r="102" spans="1:10" ht="17.149999999999999" customHeight="1" x14ac:dyDescent="0.3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71"/>
    </row>
    <row r="106" spans="1:10" ht="14.15" customHeight="1" x14ac:dyDescent="0.35">
      <c r="A106" s="1"/>
      <c r="B106" s="281"/>
      <c r="C106" s="110" t="s">
        <v>6</v>
      </c>
      <c r="D106" s="109">
        <v>150770</v>
      </c>
      <c r="E106" s="96" t="s">
        <v>4</v>
      </c>
      <c r="F106" s="109">
        <v>54246</v>
      </c>
      <c r="G106" s="110" t="s">
        <v>5</v>
      </c>
      <c r="H106" s="109">
        <v>6128</v>
      </c>
      <c r="I106" s="173"/>
      <c r="J106" s="271"/>
    </row>
    <row r="107" spans="1:10" ht="14.15" customHeight="1" x14ac:dyDescent="0.35">
      <c r="A107" s="1"/>
      <c r="B107" s="281"/>
      <c r="C107" s="110" t="s">
        <v>9</v>
      </c>
      <c r="D107" s="114">
        <v>12100</v>
      </c>
      <c r="E107" s="110" t="s">
        <v>7</v>
      </c>
      <c r="F107" s="114">
        <v>55713</v>
      </c>
      <c r="G107" s="110" t="s">
        <v>8</v>
      </c>
      <c r="H107" s="114">
        <v>41785</v>
      </c>
      <c r="I107" s="173"/>
      <c r="J107" s="271"/>
    </row>
    <row r="108" spans="1:10" ht="14.15" customHeight="1" x14ac:dyDescent="0.35">
      <c r="A108" s="1"/>
      <c r="B108" s="281"/>
      <c r="C108" s="275" t="s">
        <v>55</v>
      </c>
      <c r="D108" s="114">
        <v>1279</v>
      </c>
      <c r="E108" s="110" t="s">
        <v>56</v>
      </c>
      <c r="F108" s="114">
        <v>36653</v>
      </c>
      <c r="G108" s="110" t="s">
        <v>11</v>
      </c>
      <c r="H108" s="114">
        <v>7800</v>
      </c>
      <c r="I108" s="173"/>
      <c r="J108" s="271"/>
    </row>
    <row r="109" spans="1:10" ht="14.15" customHeight="1" x14ac:dyDescent="0.35">
      <c r="A109" s="1"/>
      <c r="B109" s="149"/>
      <c r="C109" s="161"/>
      <c r="D109" s="185"/>
      <c r="E109" s="185" t="s">
        <v>144</v>
      </c>
      <c r="F109" s="114">
        <v>4158</v>
      </c>
      <c r="G109" s="110"/>
      <c r="H109" s="161"/>
      <c r="I109" s="173"/>
      <c r="J109" s="271"/>
    </row>
    <row r="110" spans="1:10" ht="12" customHeight="1" x14ac:dyDescent="0.35">
      <c r="A110" s="1"/>
      <c r="B110" s="281"/>
      <c r="C110" s="172" t="s">
        <v>46</v>
      </c>
      <c r="D110" s="206">
        <v>164149</v>
      </c>
      <c r="E110" s="112" t="s">
        <v>14</v>
      </c>
      <c r="F110" s="184">
        <v>150770</v>
      </c>
      <c r="G110" s="172" t="s">
        <v>7</v>
      </c>
      <c r="H110" s="184">
        <v>55713</v>
      </c>
      <c r="I110" s="173"/>
      <c r="J110" s="271"/>
    </row>
    <row r="111" spans="1:10" ht="12" customHeight="1" x14ac:dyDescent="0.35">
      <c r="A111" s="101"/>
      <c r="B111" s="24"/>
      <c r="C111" s="101" t="s">
        <v>145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8"/>
      <c r="C112" s="298"/>
      <c r="D112" s="298"/>
      <c r="E112" s="260"/>
      <c r="F112" s="260"/>
      <c r="G112" s="260"/>
      <c r="H112" s="260"/>
      <c r="I112" s="260"/>
      <c r="J112" s="272"/>
    </row>
    <row r="113" spans="1:10" ht="25.5" customHeight="1" x14ac:dyDescent="0.35">
      <c r="A113" s="1"/>
      <c r="B113" s="281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90" t="s">
        <v>16</v>
      </c>
      <c r="D114" s="14" t="s">
        <v>17</v>
      </c>
      <c r="E114" s="14" t="s">
        <v>57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5"/>
    </row>
    <row r="115" spans="1:10" ht="14.15" customHeight="1" x14ac:dyDescent="0.35">
      <c r="A115" s="1"/>
      <c r="B115" s="281"/>
      <c r="C115" s="15" t="s">
        <v>58</v>
      </c>
      <c r="D115" s="27">
        <f>D116+D117+D118</f>
        <v>54246</v>
      </c>
      <c r="E115" s="27">
        <f>E116+E117+E118</f>
        <v>54246</v>
      </c>
      <c r="F115" s="10">
        <f t="shared" ref="F115:I115" si="11">F116+F117+F118</f>
        <v>23.045860000000001</v>
      </c>
      <c r="G115" s="10">
        <f t="shared" si="11"/>
        <v>19151.103179999998</v>
      </c>
      <c r="H115" s="10">
        <f t="shared" si="11"/>
        <v>35094.896820000002</v>
      </c>
      <c r="I115" s="10">
        <f t="shared" si="11"/>
        <v>31198.257709999998</v>
      </c>
      <c r="J115" s="271"/>
    </row>
    <row r="116" spans="1:10" ht="14.15" customHeight="1" x14ac:dyDescent="0.35">
      <c r="A116" s="1"/>
      <c r="B116" s="281"/>
      <c r="C116" s="43" t="s">
        <v>20</v>
      </c>
      <c r="D116" s="44">
        <v>43397</v>
      </c>
      <c r="E116" s="44">
        <v>43397</v>
      </c>
      <c r="F116" s="22">
        <f>23.04586</f>
        <v>23.045860000000001</v>
      </c>
      <c r="G116" s="22">
        <f>16672.97298</f>
        <v>16672.972979999999</v>
      </c>
      <c r="H116" s="22">
        <f>E116-G116</f>
        <v>26724.027020000001</v>
      </c>
      <c r="I116" s="22">
        <f>27750.60187</f>
        <v>27750.601869999999</v>
      </c>
      <c r="J116" s="271"/>
    </row>
    <row r="117" spans="1:10" ht="15" customHeight="1" x14ac:dyDescent="0.35">
      <c r="A117" s="1"/>
      <c r="B117" s="281"/>
      <c r="C117" s="43" t="s">
        <v>21</v>
      </c>
      <c r="D117" s="44">
        <v>10349</v>
      </c>
      <c r="E117" s="44">
        <v>10349</v>
      </c>
      <c r="F117" s="22">
        <f>0</f>
        <v>0</v>
      </c>
      <c r="G117" s="22">
        <f>2405.1897</f>
        <v>2405.1896999999999</v>
      </c>
      <c r="H117" s="22">
        <f>E117-G117</f>
        <v>7943.8103000000001</v>
      </c>
      <c r="I117" s="22">
        <f>3382.29824</f>
        <v>3382.2982400000001</v>
      </c>
      <c r="J117" s="271"/>
    </row>
    <row r="118" spans="1:10" ht="13.5" customHeight="1" x14ac:dyDescent="0.35">
      <c r="A118" s="1"/>
      <c r="B118" s="281"/>
      <c r="C118" s="47" t="s">
        <v>59</v>
      </c>
      <c r="D118" s="32">
        <v>500</v>
      </c>
      <c r="E118" s="32">
        <v>500</v>
      </c>
      <c r="F118" s="22">
        <f>0</f>
        <v>0</v>
      </c>
      <c r="G118" s="22">
        <f>72.9405</f>
        <v>72.9405</v>
      </c>
      <c r="H118" s="53">
        <f>E118-G118</f>
        <v>427.05950000000001</v>
      </c>
      <c r="I118" s="22">
        <f>65.3576</f>
        <v>65.357600000000005</v>
      </c>
      <c r="J118" s="271"/>
    </row>
    <row r="119" spans="1:10" ht="14.25" customHeight="1" x14ac:dyDescent="0.35">
      <c r="A119" s="65"/>
      <c r="B119" s="75"/>
      <c r="C119" s="85" t="s">
        <v>60</v>
      </c>
      <c r="D119" s="87">
        <v>36653</v>
      </c>
      <c r="E119" s="87">
        <v>36653</v>
      </c>
      <c r="F119" s="92">
        <f>1975.521</f>
        <v>1975.521</v>
      </c>
      <c r="G119" s="92">
        <f>12935.45305+699.5772</f>
        <v>13635.03025</v>
      </c>
      <c r="H119" s="92">
        <f>E119-G119</f>
        <v>23017.96975</v>
      </c>
      <c r="I119" s="92">
        <f>16682.289</f>
        <v>16682.289000000001</v>
      </c>
      <c r="J119" s="111"/>
    </row>
    <row r="120" spans="1:10" ht="15.75" customHeight="1" x14ac:dyDescent="0.35">
      <c r="A120" s="1"/>
      <c r="B120" s="281"/>
      <c r="C120" s="139" t="s">
        <v>22</v>
      </c>
      <c r="D120" s="140">
        <f>D121+D126+D129</f>
        <v>57110</v>
      </c>
      <c r="E120" s="140">
        <f>E121+E126+E129</f>
        <v>57110</v>
      </c>
      <c r="F120" s="91">
        <f>F121+F126+F129</f>
        <v>391.59502999999995</v>
      </c>
      <c r="G120" s="91">
        <f t="shared" ref="G120" si="12">G121+G126+G129</f>
        <v>22090.446110000019</v>
      </c>
      <c r="H120" s="91">
        <f>H121+H126+H129</f>
        <v>35019.553889999981</v>
      </c>
      <c r="I120" s="91">
        <f>I121+I126+I129</f>
        <v>36169.540949999988</v>
      </c>
      <c r="J120" s="117"/>
    </row>
    <row r="121" spans="1:10" ht="14.15" customHeight="1" x14ac:dyDescent="0.35">
      <c r="A121" s="1"/>
      <c r="B121" s="50"/>
      <c r="C121" s="118" t="s">
        <v>61</v>
      </c>
      <c r="D121" s="119">
        <f>D122+D123+D124+D125</f>
        <v>43182</v>
      </c>
      <c r="E121" s="119">
        <f>E122+E123+E124+E125</f>
        <v>43182</v>
      </c>
      <c r="F121" s="121">
        <f>F122+F123+F124+F125</f>
        <v>276.91433999999998</v>
      </c>
      <c r="G121" s="121">
        <f>G122+G123+G125+G124</f>
        <v>16699.805060000017</v>
      </c>
      <c r="H121" s="121">
        <f>H122+H123+H124+H125</f>
        <v>26482.194939999979</v>
      </c>
      <c r="I121" s="121">
        <f>I122+I123+I124+I125</f>
        <v>27035.861110000009</v>
      </c>
      <c r="J121" s="305"/>
    </row>
    <row r="122" spans="1:10" ht="14.15" customHeight="1" x14ac:dyDescent="0.35">
      <c r="A122" s="192"/>
      <c r="B122" s="122"/>
      <c r="C122" s="60" t="s">
        <v>24</v>
      </c>
      <c r="D122" s="61">
        <v>11476</v>
      </c>
      <c r="E122" s="61">
        <v>11476</v>
      </c>
      <c r="F122" s="123">
        <f>65.39799</f>
        <v>65.397989999999993</v>
      </c>
      <c r="G122" s="123">
        <f>4573.52673000001</f>
        <v>4573.5267300000096</v>
      </c>
      <c r="H122" s="123">
        <f>E122-G122</f>
        <v>6902.4732699999904</v>
      </c>
      <c r="I122" s="123">
        <f>6019.30742000001</f>
        <v>6019.3074200000101</v>
      </c>
      <c r="J122" s="125"/>
    </row>
    <row r="123" spans="1:10" ht="14.15" customHeight="1" x14ac:dyDescent="0.35">
      <c r="A123" s="192"/>
      <c r="B123" s="176"/>
      <c r="C123" s="60" t="s">
        <v>48</v>
      </c>
      <c r="D123" s="61">
        <v>11835</v>
      </c>
      <c r="E123" s="61">
        <v>11835</v>
      </c>
      <c r="F123" s="123">
        <f>21.9053</f>
        <v>21.9053</v>
      </c>
      <c r="G123" s="123">
        <f>4886.99299000001</f>
        <v>4886.9929900000097</v>
      </c>
      <c r="H123" s="123">
        <f>E123-G123</f>
        <v>6948.0070099999903</v>
      </c>
      <c r="I123" s="123">
        <f>7782.51647</f>
        <v>7782.5164699999996</v>
      </c>
      <c r="J123" s="126"/>
    </row>
    <row r="124" spans="1:10" ht="14.15" customHeight="1" x14ac:dyDescent="0.35">
      <c r="A124" s="192"/>
      <c r="B124" s="176"/>
      <c r="C124" s="60" t="s">
        <v>49</v>
      </c>
      <c r="D124" s="61">
        <v>10473</v>
      </c>
      <c r="E124" s="61">
        <v>10473</v>
      </c>
      <c r="F124" s="123">
        <f>67.11105</f>
        <v>67.111050000000006</v>
      </c>
      <c r="G124" s="123">
        <f>3891.62931</f>
        <v>3891.6293099999998</v>
      </c>
      <c r="H124" s="123">
        <f>E124-G124</f>
        <v>6581.3706899999997</v>
      </c>
      <c r="I124" s="123">
        <f>6368.06184</f>
        <v>6368.0618400000003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9398</v>
      </c>
      <c r="E125" s="61">
        <v>9398</v>
      </c>
      <c r="F125" s="123">
        <f>122.5</f>
        <v>122.5</v>
      </c>
      <c r="G125" s="123">
        <f>4047.23323-699.5772</f>
        <v>3347.6560300000001</v>
      </c>
      <c r="H125" s="123">
        <f>E125-G125</f>
        <v>6050.3439699999999</v>
      </c>
      <c r="I125" s="123">
        <f>6865.97538</f>
        <v>6865.9753799999999</v>
      </c>
      <c r="J125" s="126"/>
    </row>
    <row r="126" spans="1:10" ht="14.15" customHeight="1" x14ac:dyDescent="0.35">
      <c r="A126" s="64"/>
      <c r="B126" s="51"/>
      <c r="C126" s="54" t="s">
        <v>28</v>
      </c>
      <c r="D126" s="55">
        <f>D127+D128</f>
        <v>6128</v>
      </c>
      <c r="E126" s="55">
        <f>E127+E128</f>
        <v>6128</v>
      </c>
      <c r="F126" s="129">
        <f>SUM(F127:F128)</f>
        <v>6.6369100000000003</v>
      </c>
      <c r="G126" s="129">
        <f>SUM(G127:G128)</f>
        <v>1900.7987699999999</v>
      </c>
      <c r="H126" s="129">
        <f>H127+H128</f>
        <v>4227.2012300000006</v>
      </c>
      <c r="I126" s="129">
        <f>SUM(I127:I128)</f>
        <v>5872.0058200000003</v>
      </c>
      <c r="J126" s="130"/>
    </row>
    <row r="127" spans="1:10" ht="14.15" customHeight="1" x14ac:dyDescent="0.35">
      <c r="A127" s="1"/>
      <c r="B127" s="281"/>
      <c r="C127" s="60" t="s">
        <v>62</v>
      </c>
      <c r="D127" s="61">
        <v>5628</v>
      </c>
      <c r="E127" s="61">
        <v>5628</v>
      </c>
      <c r="F127" s="123">
        <f>5.34271</f>
        <v>5.3427100000000003</v>
      </c>
      <c r="G127" s="123">
        <f>1706.49923</f>
        <v>1706.4992299999999</v>
      </c>
      <c r="H127" s="123">
        <f t="shared" ref="H127:H135" si="13">E127-G127</f>
        <v>3921.5007700000001</v>
      </c>
      <c r="I127" s="123">
        <f>5728.63216</f>
        <v>5728.6321600000001</v>
      </c>
      <c r="J127" s="117"/>
    </row>
    <row r="128" spans="1:10" ht="15" customHeight="1" x14ac:dyDescent="0.35">
      <c r="A128" s="1"/>
      <c r="B128" s="51"/>
      <c r="C128" s="60" t="s">
        <v>63</v>
      </c>
      <c r="D128" s="61">
        <v>500</v>
      </c>
      <c r="E128" s="61">
        <v>500</v>
      </c>
      <c r="F128" s="123">
        <f>1.2942</f>
        <v>1.2942</v>
      </c>
      <c r="G128" s="123">
        <f>194.29954</f>
        <v>194.29954000000001</v>
      </c>
      <c r="H128" s="123">
        <f t="shared" si="13"/>
        <v>305.70046000000002</v>
      </c>
      <c r="I128" s="123">
        <f>143.37366</f>
        <v>143.37366</v>
      </c>
      <c r="J128" s="131"/>
    </row>
    <row r="129" spans="1:10" ht="15.75" customHeight="1" x14ac:dyDescent="0.35">
      <c r="A129" s="1"/>
      <c r="B129" s="281"/>
      <c r="C129" s="37" t="s">
        <v>11</v>
      </c>
      <c r="D129" s="59">
        <v>7800</v>
      </c>
      <c r="E129" s="59">
        <v>7800</v>
      </c>
      <c r="F129" s="72">
        <f>108.04378</f>
        <v>108.04378</v>
      </c>
      <c r="G129" s="72">
        <f>3489.84228</f>
        <v>3489.8422799999998</v>
      </c>
      <c r="H129" s="72">
        <f t="shared" si="13"/>
        <v>4310.1577200000002</v>
      </c>
      <c r="I129" s="72">
        <f>3261.67401999998</f>
        <v>3261.6740199999799</v>
      </c>
      <c r="J129" s="117"/>
    </row>
    <row r="130" spans="1:10" ht="15.75" customHeight="1" x14ac:dyDescent="0.35">
      <c r="A130" s="1"/>
      <c r="B130" s="281"/>
      <c r="C130" s="139" t="s">
        <v>33</v>
      </c>
      <c r="D130" s="140">
        <v>156</v>
      </c>
      <c r="E130" s="140">
        <v>156</v>
      </c>
      <c r="F130" s="136">
        <f>0</f>
        <v>0</v>
      </c>
      <c r="G130" s="136">
        <f>13.02868</f>
        <v>13.02868</v>
      </c>
      <c r="H130" s="136">
        <f t="shared" si="13"/>
        <v>142.97131999999999</v>
      </c>
      <c r="I130" s="136">
        <f>16.4505</f>
        <v>16.450500000000002</v>
      </c>
      <c r="J130" s="117"/>
    </row>
    <row r="131" spans="1:10" ht="15.75" customHeight="1" x14ac:dyDescent="0.35">
      <c r="A131" s="1"/>
      <c r="B131" s="281"/>
      <c r="C131" s="137" t="s">
        <v>64</v>
      </c>
      <c r="D131" s="86">
        <v>350</v>
      </c>
      <c r="E131" s="86">
        <v>350</v>
      </c>
      <c r="F131" s="95">
        <f>0</f>
        <v>0</v>
      </c>
      <c r="G131" s="95">
        <f>179.432</f>
        <v>179.43199999999999</v>
      </c>
      <c r="H131" s="95">
        <f t="shared" si="13"/>
        <v>170.56800000000001</v>
      </c>
      <c r="I131" s="95">
        <f>345.268</f>
        <v>345.26799999999997</v>
      </c>
      <c r="J131" s="117"/>
    </row>
    <row r="132" spans="1:10" ht="18" customHeight="1" x14ac:dyDescent="0.35">
      <c r="A132" s="1"/>
      <c r="B132" s="281"/>
      <c r="C132" s="137" t="s">
        <v>65</v>
      </c>
      <c r="D132" s="140">
        <v>2000</v>
      </c>
      <c r="E132" s="140">
        <v>2000</v>
      </c>
      <c r="F132" s="136">
        <f>9.9312</f>
        <v>9.9312000000000005</v>
      </c>
      <c r="G132" s="136">
        <f>E132</f>
        <v>2000</v>
      </c>
      <c r="H132" s="136">
        <f t="shared" si="13"/>
        <v>0</v>
      </c>
      <c r="I132" s="136">
        <f>E132</f>
        <v>2000</v>
      </c>
      <c r="J132" s="271"/>
    </row>
    <row r="133" spans="1:10" ht="15.75" customHeight="1" x14ac:dyDescent="0.35">
      <c r="A133" s="1"/>
      <c r="B133" s="281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3"/>
        <v>0</v>
      </c>
      <c r="I133" s="136"/>
      <c r="J133" s="117"/>
    </row>
    <row r="134" spans="1:10" ht="15.75" customHeight="1" x14ac:dyDescent="0.35">
      <c r="A134" s="1"/>
      <c r="B134" s="281"/>
      <c r="C134" s="139" t="s">
        <v>66</v>
      </c>
      <c r="D134" s="140">
        <v>255</v>
      </c>
      <c r="E134" s="140">
        <v>255</v>
      </c>
      <c r="F134" s="95">
        <f>0.71145</f>
        <v>0.71145000000000003</v>
      </c>
      <c r="G134" s="95">
        <f>5.85058</f>
        <v>5.8505799999999999</v>
      </c>
      <c r="H134" s="136">
        <f t="shared" si="13"/>
        <v>249.14941999999999</v>
      </c>
      <c r="I134" s="95">
        <f>81.90915</f>
        <v>81.909149999999997</v>
      </c>
      <c r="J134" s="117"/>
    </row>
    <row r="135" spans="1:10" ht="15" customHeight="1" x14ac:dyDescent="0.35">
      <c r="A135" s="1"/>
      <c r="B135" s="281"/>
      <c r="C135" s="139" t="s">
        <v>38</v>
      </c>
      <c r="D135" s="142"/>
      <c r="E135" s="140"/>
      <c r="F135" s="136">
        <f>0</f>
        <v>0</v>
      </c>
      <c r="G135" s="136">
        <f>72.009</f>
        <v>72.009</v>
      </c>
      <c r="H135" s="136">
        <f t="shared" si="13"/>
        <v>-72.009</v>
      </c>
      <c r="I135" s="136">
        <f>75.08831</f>
        <v>75.088310000000007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39</v>
      </c>
      <c r="D137" s="73">
        <f t="shared" ref="D137:E137" si="14">D115+D119+D120+D130+D131+D132+D133+D134+D135</f>
        <v>150770</v>
      </c>
      <c r="E137" s="73">
        <f t="shared" si="14"/>
        <v>150770</v>
      </c>
      <c r="F137" s="73">
        <f>F115+F119+F120+F130+F131+F132+F133+F134+F135</f>
        <v>2400.8045399999996</v>
      </c>
      <c r="G137" s="73">
        <f>G115+G119+G120+G130+G131+G132+G133+G134+G135</f>
        <v>57146.899800000021</v>
      </c>
      <c r="H137" s="73">
        <f>H115+H119+H120+H130+H131+H132+H133+H134+H135</f>
        <v>93623.100199999972</v>
      </c>
      <c r="I137" s="73">
        <f>I115+I119+I120+I130+I131+I132+I133+I134+I135</f>
        <v>86568.803620000006</v>
      </c>
      <c r="J137" s="155"/>
    </row>
    <row r="138" spans="1:10" ht="14.25" customHeight="1" x14ac:dyDescent="0.35">
      <c r="A138" s="152"/>
      <c r="B138" s="50"/>
      <c r="C138" s="156" t="s">
        <v>67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156</v>
      </c>
      <c r="D139" s="116"/>
      <c r="E139" s="116"/>
      <c r="F139" s="116"/>
      <c r="G139" s="116"/>
      <c r="H139" s="159"/>
      <c r="I139" s="152"/>
      <c r="J139" s="305"/>
    </row>
    <row r="140" spans="1:10" ht="14.25" customHeight="1" x14ac:dyDescent="0.35">
      <c r="A140" s="152"/>
      <c r="B140" s="50"/>
      <c r="C140" s="156" t="s">
        <v>165</v>
      </c>
      <c r="D140" s="116"/>
      <c r="E140" s="116"/>
      <c r="F140" s="116"/>
      <c r="G140" s="116"/>
      <c r="H140" s="159"/>
      <c r="I140" s="152"/>
      <c r="J140" s="305"/>
    </row>
    <row r="141" spans="1:10" ht="14.25" customHeight="1" x14ac:dyDescent="0.3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5"/>
    </row>
    <row r="142" spans="1:10" ht="15.75" customHeight="1" x14ac:dyDescent="0.35">
      <c r="A142" s="152"/>
      <c r="B142" s="50"/>
      <c r="C142" s="156" t="s">
        <v>120</v>
      </c>
      <c r="D142" s="116"/>
      <c r="E142" s="116"/>
      <c r="F142" s="116"/>
      <c r="G142" s="116"/>
      <c r="H142" s="159"/>
      <c r="I142" s="159"/>
      <c r="J142" s="305"/>
    </row>
    <row r="143" spans="1:10" ht="15.75" customHeight="1" x14ac:dyDescent="0.35">
      <c r="A143" s="152"/>
      <c r="B143" s="50"/>
      <c r="C143" s="74" t="s">
        <v>146</v>
      </c>
      <c r="D143" s="116"/>
      <c r="E143" s="116"/>
      <c r="F143" s="116"/>
      <c r="G143" s="116"/>
      <c r="H143" s="159"/>
      <c r="I143" s="159"/>
      <c r="J143" s="305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108</v>
      </c>
      <c r="B147" s="2"/>
      <c r="C147" s="233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108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108</v>
      </c>
      <c r="B150" s="281"/>
      <c r="C150" s="144" t="s">
        <v>1</v>
      </c>
      <c r="D150" s="180"/>
      <c r="E150" s="306"/>
      <c r="F150" s="306"/>
      <c r="G150" s="306"/>
      <c r="H150" s="1"/>
      <c r="I150" s="1"/>
      <c r="J150" s="117"/>
    </row>
    <row r="151" spans="1:10" ht="14.15" customHeight="1" x14ac:dyDescent="0.35">
      <c r="A151" s="1"/>
      <c r="B151" s="281"/>
      <c r="C151" s="172" t="s">
        <v>6</v>
      </c>
      <c r="D151" s="184">
        <v>9675</v>
      </c>
      <c r="E151" s="306"/>
      <c r="F151" s="306"/>
      <c r="G151" s="306"/>
      <c r="H151" s="1"/>
      <c r="I151" s="1"/>
      <c r="J151" s="117"/>
    </row>
    <row r="152" spans="1:10" ht="14.15" customHeight="1" x14ac:dyDescent="0.35">
      <c r="A152" s="1"/>
      <c r="B152" s="281"/>
      <c r="C152" s="172" t="s">
        <v>9</v>
      </c>
      <c r="D152" s="184">
        <v>8625</v>
      </c>
      <c r="E152" s="306"/>
      <c r="F152" s="306"/>
      <c r="G152" s="262"/>
      <c r="H152" s="1"/>
      <c r="I152" s="1"/>
      <c r="J152" s="117"/>
    </row>
    <row r="153" spans="1:10" ht="14.15" customHeight="1" x14ac:dyDescent="0.35">
      <c r="A153" s="1"/>
      <c r="B153" s="281"/>
      <c r="C153" s="172" t="s">
        <v>69</v>
      </c>
      <c r="D153" s="184">
        <v>700</v>
      </c>
      <c r="E153" s="306"/>
      <c r="F153" s="306"/>
      <c r="G153" s="306"/>
      <c r="H153" s="1"/>
      <c r="I153" s="1"/>
      <c r="J153" s="117"/>
    </row>
    <row r="154" spans="1:10" ht="14.15" customHeight="1" x14ac:dyDescent="0.35">
      <c r="A154" s="1"/>
      <c r="B154" s="281"/>
      <c r="C154" s="172" t="s">
        <v>46</v>
      </c>
      <c r="D154" s="184">
        <v>19000</v>
      </c>
      <c r="E154" s="306"/>
      <c r="F154" s="306"/>
      <c r="G154" s="306"/>
      <c r="H154" s="1"/>
      <c r="I154" s="1"/>
      <c r="J154" s="117"/>
    </row>
    <row r="155" spans="1:10" ht="14.15" customHeight="1" x14ac:dyDescent="0.35">
      <c r="A155" s="1"/>
      <c r="B155" s="281"/>
      <c r="C155" s="1"/>
      <c r="D155" s="45"/>
      <c r="E155" s="306"/>
      <c r="F155" s="306"/>
      <c r="G155" s="306"/>
      <c r="H155" s="1"/>
      <c r="I155" s="1"/>
      <c r="J155" s="117"/>
    </row>
    <row r="156" spans="1:10" ht="3.75" customHeight="1" x14ac:dyDescent="0.35">
      <c r="A156" s="1"/>
      <c r="B156" s="268"/>
      <c r="C156" s="154"/>
      <c r="D156" s="154"/>
      <c r="E156" s="293"/>
      <c r="F156" s="293"/>
      <c r="G156" s="293"/>
      <c r="H156" s="260"/>
      <c r="I156" s="260"/>
      <c r="J156" s="272"/>
    </row>
    <row r="157" spans="1:10" ht="24.75" customHeight="1" x14ac:dyDescent="0.35">
      <c r="A157" s="1"/>
      <c r="B157" s="281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51"/>
      <c r="D158" s="251"/>
      <c r="E158" s="251"/>
      <c r="F158" s="251"/>
      <c r="G158" s="251"/>
      <c r="H158" s="251"/>
      <c r="I158" s="251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5"/>
    </row>
    <row r="160" spans="1:10" ht="14.15" customHeight="1" x14ac:dyDescent="0.35">
      <c r="A160" s="1"/>
      <c r="B160" s="281"/>
      <c r="C160" s="138" t="s">
        <v>70</v>
      </c>
      <c r="D160" s="91">
        <v>3754</v>
      </c>
      <c r="E160" s="301">
        <f>19.29789</f>
        <v>19.297889999999999</v>
      </c>
      <c r="F160" s="301">
        <f>798.475209999999</f>
        <v>798.47520999999904</v>
      </c>
      <c r="G160" s="42">
        <f>D160-F160-F161</f>
        <v>2156.8112700000011</v>
      </c>
      <c r="H160" s="301">
        <f>652.08372</f>
        <v>652.08371999999997</v>
      </c>
      <c r="I160" s="1"/>
      <c r="J160" s="117"/>
    </row>
    <row r="161" spans="1:10" ht="14.15" customHeight="1" x14ac:dyDescent="0.35">
      <c r="A161" s="1"/>
      <c r="B161" s="281"/>
      <c r="C161" s="133" t="s">
        <v>50</v>
      </c>
      <c r="D161" s="175"/>
      <c r="E161" s="148">
        <f>0.10693</f>
        <v>0.10693</v>
      </c>
      <c r="F161" s="148">
        <f>798.71352</f>
        <v>798.71352000000002</v>
      </c>
      <c r="G161" s="219"/>
      <c r="H161" s="148">
        <f>1196.51204</f>
        <v>1196.5120400000001</v>
      </c>
      <c r="I161" s="1"/>
      <c r="J161" s="117"/>
    </row>
    <row r="162" spans="1:10" ht="15.65" customHeight="1" x14ac:dyDescent="0.35">
      <c r="A162" s="1"/>
      <c r="B162" s="281"/>
      <c r="C162" s="163" t="s">
        <v>71</v>
      </c>
      <c r="D162" s="95">
        <v>200</v>
      </c>
      <c r="E162" s="166">
        <f>0</f>
        <v>0</v>
      </c>
      <c r="F162" s="166">
        <f>54.39313</f>
        <v>54.393129999999999</v>
      </c>
      <c r="G162" s="166">
        <f>D162-F162</f>
        <v>145.60687000000001</v>
      </c>
      <c r="H162" s="166">
        <f>51.71089</f>
        <v>51.710889999999999</v>
      </c>
      <c r="I162" s="1"/>
      <c r="J162" s="117"/>
    </row>
    <row r="163" spans="1:10" ht="14.15" customHeight="1" x14ac:dyDescent="0.35">
      <c r="A163" s="65"/>
      <c r="B163" s="75"/>
      <c r="C163" s="174" t="s">
        <v>72</v>
      </c>
      <c r="D163" s="175">
        <v>5630</v>
      </c>
      <c r="E163" s="175">
        <f>E164+E165+E166</f>
        <v>777.76468</v>
      </c>
      <c r="F163" s="175">
        <f>F164+F165+F166</f>
        <v>5041.1713799999998</v>
      </c>
      <c r="G163" s="175">
        <f>D163-F163</f>
        <v>588.82862000000023</v>
      </c>
      <c r="H163" s="175">
        <f>H164+H165+H166</f>
        <v>4364.3098600000003</v>
      </c>
      <c r="I163" s="65"/>
      <c r="J163" s="111"/>
    </row>
    <row r="164" spans="1:10" ht="14.15" customHeight="1" x14ac:dyDescent="0.35">
      <c r="A164" s="192"/>
      <c r="B164" s="176"/>
      <c r="C164" s="177" t="s">
        <v>73</v>
      </c>
      <c r="D164" s="123"/>
      <c r="E164" s="123">
        <f>639.73286</f>
        <v>639.73285999999996</v>
      </c>
      <c r="F164" s="123">
        <f>3170.94826</f>
        <v>3170.9482600000001</v>
      </c>
      <c r="G164" s="123"/>
      <c r="H164" s="123">
        <f>2414.47555</f>
        <v>2414.4755500000001</v>
      </c>
      <c r="I164" s="181"/>
      <c r="J164" s="126"/>
    </row>
    <row r="165" spans="1:10" ht="14.15" customHeight="1" x14ac:dyDescent="0.35">
      <c r="A165" s="192"/>
      <c r="B165" s="176"/>
      <c r="C165" s="177" t="s">
        <v>74</v>
      </c>
      <c r="D165" s="123"/>
      <c r="E165" s="123">
        <f>102.68834</f>
        <v>102.68834</v>
      </c>
      <c r="F165" s="123">
        <f>1331.82616</f>
        <v>1331.8261600000001</v>
      </c>
      <c r="G165" s="123"/>
      <c r="H165" s="123">
        <f>1295.49849</f>
        <v>1295.4984899999999</v>
      </c>
      <c r="I165" s="181"/>
      <c r="J165" s="182"/>
    </row>
    <row r="166" spans="1:10" ht="14.15" customHeight="1" x14ac:dyDescent="0.35">
      <c r="A166" s="192"/>
      <c r="B166" s="176"/>
      <c r="C166" s="183" t="s">
        <v>75</v>
      </c>
      <c r="D166" s="186"/>
      <c r="E166" s="186">
        <f>35.34348</f>
        <v>35.34348</v>
      </c>
      <c r="F166" s="186">
        <f>538.39696</f>
        <v>538.39696000000004</v>
      </c>
      <c r="G166" s="186"/>
      <c r="H166" s="186">
        <f>654.33582</f>
        <v>654.33582000000001</v>
      </c>
      <c r="I166" s="181"/>
      <c r="J166" s="182"/>
    </row>
    <row r="167" spans="1:10" ht="14.15" customHeight="1" x14ac:dyDescent="0.35">
      <c r="A167" s="1"/>
      <c r="B167" s="281"/>
      <c r="C167" s="70" t="s">
        <v>76</v>
      </c>
      <c r="D167" s="136">
        <v>91</v>
      </c>
      <c r="E167" s="136">
        <f>0</f>
        <v>0</v>
      </c>
      <c r="F167" s="136">
        <f>8.70186</f>
        <v>8.7018599999999999</v>
      </c>
      <c r="G167" s="136">
        <f>D167-F167</f>
        <v>82.298140000000004</v>
      </c>
      <c r="H167" s="136">
        <f>5.3531</f>
        <v>5.3531000000000004</v>
      </c>
      <c r="I167" s="173"/>
      <c r="J167" s="271"/>
    </row>
    <row r="168" spans="1:10" ht="16.5" customHeight="1" x14ac:dyDescent="0.35">
      <c r="A168" s="1"/>
      <c r="B168" s="281"/>
      <c r="C168" s="89" t="s">
        <v>77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71"/>
    </row>
    <row r="169" spans="1:10" ht="19.399999999999999" customHeight="1" x14ac:dyDescent="0.3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797.16949999999997</v>
      </c>
      <c r="F169" s="188">
        <f>F160+F161+F162+F163+F167+F168</f>
        <v>6701.4550999999983</v>
      </c>
      <c r="G169" s="188">
        <f>D169-F169</f>
        <v>2973.5449000000017</v>
      </c>
      <c r="H169" s="188">
        <f>H160+H161+H162+H163+H167+H168</f>
        <v>6269.969610000001</v>
      </c>
      <c r="I169" s="159"/>
      <c r="J169" s="155"/>
    </row>
    <row r="170" spans="1:10" ht="42" customHeight="1" x14ac:dyDescent="0.35">
      <c r="A170" s="1"/>
      <c r="B170" s="193"/>
      <c r="C170" s="254" t="s">
        <v>147</v>
      </c>
      <c r="D170" s="254"/>
      <c r="E170" s="254"/>
      <c r="F170" s="254"/>
      <c r="G170" s="254"/>
      <c r="H170" s="251"/>
      <c r="I170" s="251"/>
      <c r="J170" s="13"/>
    </row>
    <row r="171" spans="1:10" ht="12" customHeight="1" x14ac:dyDescent="0.35">
      <c r="A171" s="152" t="s">
        <v>108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108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78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108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53"/>
      <c r="D176" s="264"/>
      <c r="E176" s="264"/>
      <c r="F176" s="264"/>
      <c r="G176" s="264"/>
      <c r="H176" s="150"/>
      <c r="I176" s="150"/>
      <c r="J176" s="158"/>
    </row>
    <row r="177" spans="1:10" ht="15" customHeight="1" x14ac:dyDescent="0.35">
      <c r="A177" s="145"/>
      <c r="B177" s="281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81"/>
      <c r="C178" s="285" t="s">
        <v>79</v>
      </c>
      <c r="D178" s="296">
        <v>45707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81"/>
      <c r="C179" s="275" t="s">
        <v>80</v>
      </c>
      <c r="D179" s="46">
        <v>15552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81"/>
      <c r="C180" s="275" t="s">
        <v>81</v>
      </c>
      <c r="D180" s="46">
        <v>6918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81"/>
      <c r="C181" s="57" t="s">
        <v>46</v>
      </c>
      <c r="D181" s="35">
        <v>69177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81"/>
      <c r="C182" s="101" t="s">
        <v>148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81"/>
      <c r="C183" s="101" t="s">
        <v>149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81"/>
      <c r="C184" s="101" t="s">
        <v>150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8"/>
      <c r="C185" s="293"/>
      <c r="D185" s="154"/>
      <c r="E185" s="154"/>
      <c r="F185" s="293"/>
      <c r="G185" s="293"/>
      <c r="H185" s="293"/>
      <c r="I185" s="260"/>
      <c r="J185" s="272"/>
    </row>
    <row r="186" spans="1:10" ht="23.25" customHeight="1" x14ac:dyDescent="0.35">
      <c r="A186" s="1"/>
      <c r="B186" s="281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81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81"/>
      <c r="C188" s="68" t="s">
        <v>16</v>
      </c>
      <c r="D188" s="210" t="s">
        <v>2</v>
      </c>
      <c r="E188" s="14" t="s">
        <v>122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35">
      <c r="A189" s="1"/>
      <c r="B189" s="281"/>
      <c r="C189" s="90" t="s">
        <v>4</v>
      </c>
      <c r="D189" s="124">
        <v>45561</v>
      </c>
      <c r="E189" s="124">
        <v>42740</v>
      </c>
      <c r="F189" s="124">
        <f>435.8207</f>
        <v>435.82069999999999</v>
      </c>
      <c r="G189" s="124">
        <f>33578.69315</f>
        <v>33578.693149999999</v>
      </c>
      <c r="H189" s="124">
        <f>E189-G189</f>
        <v>9161.3068500000008</v>
      </c>
      <c r="I189" s="124">
        <f>37743.72299</f>
        <v>37743.722990000002</v>
      </c>
      <c r="J189" s="117"/>
    </row>
    <row r="190" spans="1:10" ht="15" customHeight="1" x14ac:dyDescent="0.35">
      <c r="A190" s="1"/>
      <c r="B190" s="281"/>
      <c r="C190" s="90" t="s">
        <v>63</v>
      </c>
      <c r="D190" s="124">
        <v>100</v>
      </c>
      <c r="E190" s="124">
        <v>100</v>
      </c>
      <c r="F190" s="124">
        <f>0.2205</f>
        <v>0.2205</v>
      </c>
      <c r="G190" s="124">
        <f>13.82206</f>
        <v>13.82206</v>
      </c>
      <c r="H190" s="124">
        <f>E190-G190</f>
        <v>86.177940000000007</v>
      </c>
      <c r="I190" s="124">
        <f>26.42272</f>
        <v>26.422720000000002</v>
      </c>
      <c r="J190" s="117"/>
    </row>
    <row r="191" spans="1:10" ht="15.75" customHeight="1" x14ac:dyDescent="0.35">
      <c r="A191" s="1"/>
      <c r="B191" s="281"/>
      <c r="C191" s="146" t="s">
        <v>76</v>
      </c>
      <c r="D191" s="168">
        <v>46</v>
      </c>
      <c r="E191" s="168">
        <v>46</v>
      </c>
      <c r="F191" s="136">
        <f>0</f>
        <v>0</v>
      </c>
      <c r="G191" s="136">
        <f>0</f>
        <v>0</v>
      </c>
      <c r="H191" s="136">
        <f>E191-G191</f>
        <v>46</v>
      </c>
      <c r="I191" s="136">
        <f>0</f>
        <v>0</v>
      </c>
      <c r="J191" s="117"/>
    </row>
    <row r="192" spans="1:10" ht="16.5" customHeight="1" x14ac:dyDescent="0.35">
      <c r="A192" s="1"/>
      <c r="B192" s="281"/>
      <c r="C192" s="179" t="s">
        <v>82</v>
      </c>
      <c r="D192" s="190">
        <f>SUM(D189:D191)</f>
        <v>45707</v>
      </c>
      <c r="E192" s="190">
        <f>SUM(E189:E191)</f>
        <v>42886</v>
      </c>
      <c r="F192" s="190">
        <f>SUM(F189:F191)</f>
        <v>436.0412</v>
      </c>
      <c r="G192" s="190">
        <f>SUM(G189:G191)</f>
        <v>33592.515209999998</v>
      </c>
      <c r="H192" s="190">
        <f>E192-G192</f>
        <v>9293.4847900000022</v>
      </c>
      <c r="I192" s="190">
        <f>SUM(I189:I191)</f>
        <v>37770.145710000004</v>
      </c>
      <c r="J192" s="117"/>
    </row>
    <row r="193" spans="1:10" ht="12" customHeight="1" x14ac:dyDescent="0.35">
      <c r="A193" s="1"/>
      <c r="B193" s="281"/>
      <c r="C193" s="101" t="s">
        <v>83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243" t="s">
        <v>151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109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108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53"/>
      <c r="D198" s="264"/>
      <c r="E198" s="264"/>
      <c r="F198" s="264"/>
      <c r="G198" s="264"/>
      <c r="H198" s="150"/>
      <c r="I198" s="150"/>
      <c r="J198" s="158"/>
    </row>
    <row r="199" spans="1:10" ht="23.25" customHeight="1" x14ac:dyDescent="0.35">
      <c r="A199" s="1"/>
      <c r="B199" s="281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81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81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35">
      <c r="A202" s="1"/>
      <c r="B202" s="281"/>
      <c r="C202" s="90" t="s">
        <v>112</v>
      </c>
      <c r="D202" s="124">
        <v>3202</v>
      </c>
      <c r="E202" s="72">
        <f>E203+E204</f>
        <v>47.145870000000002</v>
      </c>
      <c r="F202" s="72">
        <f>F203+F204</f>
        <v>2795.8676500000001</v>
      </c>
      <c r="G202" s="72">
        <f>D202-F202</f>
        <v>406.13234999999986</v>
      </c>
      <c r="H202" s="72">
        <f>H203+H204</f>
        <v>2812.17301</v>
      </c>
      <c r="I202" s="275"/>
      <c r="J202" s="117"/>
    </row>
    <row r="203" spans="1:10" ht="15" customHeight="1" x14ac:dyDescent="0.35">
      <c r="A203" s="1"/>
      <c r="B203" s="281"/>
      <c r="C203" s="172" t="s">
        <v>8</v>
      </c>
      <c r="D203" s="124"/>
      <c r="E203" s="72">
        <f>44.67287</f>
        <v>44.672870000000003</v>
      </c>
      <c r="F203" s="72">
        <f>2237.85957</f>
        <v>2237.8595700000001</v>
      </c>
      <c r="G203" s="72"/>
      <c r="H203" s="72">
        <f>2281.64844</f>
        <v>2281.6484399999999</v>
      </c>
      <c r="I203" s="275"/>
      <c r="J203" s="117"/>
    </row>
    <row r="204" spans="1:10" ht="15" customHeight="1" x14ac:dyDescent="0.35">
      <c r="A204" s="1"/>
      <c r="B204" s="281"/>
      <c r="C204" s="172" t="s">
        <v>63</v>
      </c>
      <c r="D204" s="124"/>
      <c r="E204" s="124">
        <f>2.473</f>
        <v>2.4729999999999999</v>
      </c>
      <c r="F204" s="124">
        <f>558.00808</f>
        <v>558.00807999999995</v>
      </c>
      <c r="G204" s="168"/>
      <c r="H204" s="124">
        <f>530.52457</f>
        <v>530.52457000000004</v>
      </c>
      <c r="I204" s="275"/>
      <c r="J204" s="117"/>
    </row>
    <row r="205" spans="1:10" ht="15" customHeight="1" x14ac:dyDescent="0.35">
      <c r="A205" s="1"/>
      <c r="B205" s="281"/>
      <c r="C205" s="90" t="s">
        <v>113</v>
      </c>
      <c r="D205" s="124">
        <v>3704</v>
      </c>
      <c r="E205" s="72">
        <f>59.63654</f>
        <v>59.636539999999997</v>
      </c>
      <c r="F205" s="72">
        <f>2754.69758</f>
        <v>2754.69758</v>
      </c>
      <c r="G205" s="72">
        <f>D205-F205</f>
        <v>949.30241999999998</v>
      </c>
      <c r="H205" s="72">
        <f>4002.8257</f>
        <v>4002.8256999999999</v>
      </c>
      <c r="I205" s="275"/>
      <c r="J205" s="117"/>
    </row>
    <row r="206" spans="1:10" ht="16.5" customHeight="1" x14ac:dyDescent="0.35">
      <c r="A206" s="1"/>
      <c r="B206" s="281"/>
      <c r="C206" s="179" t="s">
        <v>82</v>
      </c>
      <c r="D206" s="190">
        <f>D205+D202</f>
        <v>6906</v>
      </c>
      <c r="E206" s="190">
        <f>SUM(E202,E205)</f>
        <v>106.78241</v>
      </c>
      <c r="F206" s="190">
        <f>SUM(F202,F205)</f>
        <v>5550.5652300000002</v>
      </c>
      <c r="G206" s="190">
        <f>D206-F206</f>
        <v>1355.4347699999998</v>
      </c>
      <c r="H206" s="190">
        <f>SUM(H202,H205)</f>
        <v>6814.9987099999998</v>
      </c>
      <c r="I206" s="275"/>
      <c r="J206" s="117"/>
    </row>
    <row r="207" spans="1:10" ht="19.5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110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">
      <c r="A210" s="145" t="s">
        <v>108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53"/>
      <c r="D211" s="264"/>
      <c r="E211" s="264"/>
      <c r="F211" s="264"/>
      <c r="G211" s="264"/>
      <c r="H211" s="150"/>
      <c r="I211" s="150"/>
      <c r="J211" s="158"/>
    </row>
    <row r="212" spans="1:10" ht="23.25" customHeight="1" x14ac:dyDescent="0.35">
      <c r="A212" s="1"/>
      <c r="B212" s="281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81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81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35">
      <c r="A215" s="1"/>
      <c r="B215" s="281"/>
      <c r="C215" s="90" t="s">
        <v>112</v>
      </c>
      <c r="D215" s="124">
        <v>5516</v>
      </c>
      <c r="E215" s="72">
        <f>E216+E217</f>
        <v>101.34623000000001</v>
      </c>
      <c r="F215" s="72">
        <f>F216+F217</f>
        <v>4964.2855399999999</v>
      </c>
      <c r="G215" s="72">
        <f>D215-F215</f>
        <v>551.71446000000014</v>
      </c>
      <c r="H215" s="72">
        <f>H216+H217</f>
        <v>3439.7656199999997</v>
      </c>
      <c r="I215" s="275"/>
      <c r="J215" s="117"/>
    </row>
    <row r="216" spans="1:10" ht="15" customHeight="1" x14ac:dyDescent="0.35">
      <c r="A216" s="1"/>
      <c r="B216" s="281"/>
      <c r="C216" s="172" t="s">
        <v>8</v>
      </c>
      <c r="D216" s="124"/>
      <c r="E216" s="72">
        <f>100.48693</f>
        <v>100.48693</v>
      </c>
      <c r="F216" s="72">
        <f>4620.15941</f>
        <v>4620.1594100000002</v>
      </c>
      <c r="G216" s="72"/>
      <c r="H216" s="72">
        <f>3156.24349</f>
        <v>3156.2434899999998</v>
      </c>
      <c r="I216" s="275"/>
      <c r="J216" s="117"/>
    </row>
    <row r="217" spans="1:10" ht="15" customHeight="1" x14ac:dyDescent="0.35">
      <c r="A217" s="1"/>
      <c r="B217" s="281"/>
      <c r="C217" s="172" t="s">
        <v>63</v>
      </c>
      <c r="D217" s="124"/>
      <c r="E217" s="124">
        <f>0.8593</f>
        <v>0.85929999999999995</v>
      </c>
      <c r="F217" s="124">
        <f>344.12613</f>
        <v>344.12612999999999</v>
      </c>
      <c r="G217" s="168"/>
      <c r="H217" s="124">
        <f>283.52213</f>
        <v>283.52213</v>
      </c>
      <c r="I217" s="275"/>
      <c r="J217" s="117"/>
    </row>
    <row r="218" spans="1:10" ht="15" customHeight="1" x14ac:dyDescent="0.35">
      <c r="A218" s="1"/>
      <c r="B218" s="281"/>
      <c r="C218" s="90" t="s">
        <v>113</v>
      </c>
      <c r="D218" s="124">
        <v>3232</v>
      </c>
      <c r="E218" s="72">
        <f>45.81124</f>
        <v>45.811239999999998</v>
      </c>
      <c r="F218" s="72">
        <f>2220.25133</f>
        <v>2220.2513300000001</v>
      </c>
      <c r="G218" s="72">
        <f>D218-F218</f>
        <v>1011.7486699999999</v>
      </c>
      <c r="H218" s="72">
        <f>1590.16977</f>
        <v>1590.16977</v>
      </c>
      <c r="I218" s="275"/>
      <c r="J218" s="117"/>
    </row>
    <row r="219" spans="1:10" ht="16.5" customHeight="1" x14ac:dyDescent="0.35">
      <c r="A219" s="1"/>
      <c r="B219" s="281"/>
      <c r="C219" s="179" t="s">
        <v>82</v>
      </c>
      <c r="D219" s="190">
        <f>D218+D215</f>
        <v>8748</v>
      </c>
      <c r="E219" s="190">
        <f>SUM(E215,E218)</f>
        <v>147.15746999999999</v>
      </c>
      <c r="F219" s="190">
        <f>SUM(F215,F218)</f>
        <v>7184.5368699999999</v>
      </c>
      <c r="G219" s="190">
        <f>D219-F219</f>
        <v>1563.4631300000001</v>
      </c>
      <c r="H219" s="190">
        <f>SUM(H215,H218)</f>
        <v>5029.9353899999996</v>
      </c>
      <c r="I219" s="275"/>
      <c r="J219" s="117"/>
    </row>
    <row r="220" spans="1:10" ht="19.5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84</v>
      </c>
      <c r="D222" s="223"/>
      <c r="E222" s="223"/>
      <c r="F222" s="223"/>
      <c r="G222" s="223"/>
      <c r="H222" s="223"/>
      <c r="I222" s="223"/>
      <c r="J222" s="251"/>
    </row>
    <row r="223" spans="1:10" ht="21.75" customHeight="1" x14ac:dyDescent="0.35">
      <c r="A223" s="223" t="s">
        <v>108</v>
      </c>
      <c r="B223" s="223"/>
      <c r="C223" s="233"/>
      <c r="D223" s="223"/>
      <c r="E223" s="223"/>
      <c r="F223" s="223"/>
      <c r="G223" s="223"/>
      <c r="H223" s="223"/>
      <c r="I223" s="223"/>
      <c r="J223" s="251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81"/>
      <c r="C226" s="285" t="s">
        <v>79</v>
      </c>
      <c r="D226" s="245">
        <v>1516</v>
      </c>
      <c r="E226" s="145"/>
      <c r="F226" s="252"/>
      <c r="G226" s="1"/>
      <c r="H226" s="1"/>
      <c r="I226" s="1"/>
      <c r="J226" s="117"/>
    </row>
    <row r="227" spans="1:10" ht="14.15" customHeight="1" x14ac:dyDescent="0.35">
      <c r="A227" s="1"/>
      <c r="B227" s="281"/>
      <c r="C227" s="275" t="s">
        <v>85</v>
      </c>
      <c r="D227" s="245">
        <v>5282</v>
      </c>
      <c r="E227" s="145"/>
      <c r="F227" s="252"/>
      <c r="G227" s="1"/>
      <c r="H227" s="1"/>
      <c r="I227" s="1"/>
      <c r="J227" s="117"/>
    </row>
    <row r="228" spans="1:10" ht="14.15" customHeight="1" x14ac:dyDescent="0.35">
      <c r="A228" s="1"/>
      <c r="B228" s="281"/>
      <c r="C228" s="275" t="s">
        <v>86</v>
      </c>
      <c r="D228" s="245">
        <v>3984</v>
      </c>
      <c r="E228" s="145"/>
      <c r="F228" s="252"/>
      <c r="G228" s="1"/>
      <c r="H228" s="1"/>
      <c r="I228" s="1"/>
      <c r="J228" s="117"/>
    </row>
    <row r="229" spans="1:10" ht="13.5" customHeight="1" x14ac:dyDescent="0.35">
      <c r="A229" s="1"/>
      <c r="B229" s="281"/>
      <c r="C229" s="275" t="s">
        <v>114</v>
      </c>
      <c r="D229" s="246">
        <v>382</v>
      </c>
      <c r="E229" s="145"/>
      <c r="F229" s="252"/>
      <c r="G229" s="1"/>
      <c r="H229" s="1"/>
      <c r="I229" s="1"/>
      <c r="J229" s="117"/>
    </row>
    <row r="230" spans="1:10" ht="14.25" customHeight="1" x14ac:dyDescent="0.35">
      <c r="A230" s="1"/>
      <c r="B230" s="281"/>
      <c r="C230" s="57" t="s">
        <v>46</v>
      </c>
      <c r="D230" s="247">
        <v>11164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81"/>
      <c r="C231" s="255" t="s">
        <v>87</v>
      </c>
      <c r="D231" s="256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81"/>
      <c r="C232" s="101" t="s">
        <v>97</v>
      </c>
      <c r="D232" s="257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81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8"/>
      <c r="C234" s="261" t="s">
        <v>15</v>
      </c>
      <c r="D234" s="261"/>
      <c r="E234" s="261"/>
      <c r="F234" s="261"/>
      <c r="G234" s="261"/>
      <c r="H234" s="261"/>
      <c r="I234" s="261"/>
      <c r="J234" s="265"/>
    </row>
    <row r="235" spans="1:10" ht="14.15" customHeight="1" x14ac:dyDescent="0.35">
      <c r="A235" s="1"/>
      <c r="B235" s="267"/>
      <c r="C235" s="269"/>
      <c r="D235" s="269"/>
      <c r="E235" s="269"/>
      <c r="F235" s="269"/>
      <c r="G235" s="269"/>
      <c r="H235" s="269"/>
      <c r="I235" s="269"/>
      <c r="J235" s="117"/>
    </row>
    <row r="236" spans="1:10" ht="54" customHeight="1" x14ac:dyDescent="0.35">
      <c r="A236" s="1"/>
      <c r="B236" s="281"/>
      <c r="C236" s="68" t="s">
        <v>16</v>
      </c>
      <c r="D236" s="270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5" customHeight="1" x14ac:dyDescent="0.35">
      <c r="A237" s="65"/>
      <c r="B237" s="75"/>
      <c r="C237" s="90" t="s">
        <v>88</v>
      </c>
      <c r="D237" s="124">
        <v>800</v>
      </c>
      <c r="E237" s="124">
        <f>4.31909</f>
        <v>4.3190900000000001</v>
      </c>
      <c r="F237" s="124">
        <f>89.87731</f>
        <v>89.877309999999994</v>
      </c>
      <c r="G237" s="124">
        <f>D237-F237</f>
        <v>710.12269000000003</v>
      </c>
      <c r="H237" s="124">
        <f>247.17054</f>
        <v>247.17053999999999</v>
      </c>
      <c r="I237" s="65"/>
      <c r="J237" s="271"/>
    </row>
    <row r="238" spans="1:10" ht="14.15" customHeight="1" x14ac:dyDescent="0.35">
      <c r="A238" s="1"/>
      <c r="B238" s="281"/>
      <c r="C238" s="90" t="s">
        <v>89</v>
      </c>
      <c r="D238" s="273">
        <v>706</v>
      </c>
      <c r="E238" s="124">
        <f>6.03023</f>
        <v>6.0302300000000004</v>
      </c>
      <c r="F238" s="124">
        <f>297.699229999999</f>
        <v>297.69922999999898</v>
      </c>
      <c r="G238" s="124">
        <f>D238-F238</f>
        <v>408.30077000000102</v>
      </c>
      <c r="H238" s="124">
        <f>465.856259999999</f>
        <v>465.856259999999</v>
      </c>
      <c r="I238" s="173"/>
      <c r="J238" s="111"/>
    </row>
    <row r="239" spans="1:10" ht="16.5" customHeight="1" x14ac:dyDescent="0.35">
      <c r="A239" s="65"/>
      <c r="B239" s="75"/>
      <c r="C239" s="146" t="s">
        <v>76</v>
      </c>
      <c r="D239" s="273">
        <v>10</v>
      </c>
      <c r="E239" s="168">
        <f>0</f>
        <v>0</v>
      </c>
      <c r="F239" s="168">
        <f>0.045</f>
        <v>4.4999999999999998E-2</v>
      </c>
      <c r="G239" s="124">
        <f>D239-F239</f>
        <v>9.9550000000000001</v>
      </c>
      <c r="H239" s="168">
        <f>0.82114</f>
        <v>0.82113999999999998</v>
      </c>
      <c r="I239" s="65"/>
      <c r="J239" s="276"/>
    </row>
    <row r="240" spans="1:10" ht="18.75" customHeight="1" x14ac:dyDescent="0.35">
      <c r="A240" s="65"/>
      <c r="B240" s="277"/>
      <c r="C240" s="146" t="s">
        <v>90</v>
      </c>
      <c r="D240" s="249"/>
      <c r="E240" s="168">
        <f>0</f>
        <v>0</v>
      </c>
      <c r="F240" s="168">
        <f>0.33596</f>
        <v>0.33595999999999998</v>
      </c>
      <c r="G240" s="124">
        <f>D240-F240</f>
        <v>-0.33595999999999998</v>
      </c>
      <c r="H240" s="168">
        <f>1.92872</f>
        <v>1.92872</v>
      </c>
      <c r="I240" s="309"/>
      <c r="J240" s="117"/>
    </row>
    <row r="241" spans="1:10" ht="14.15" customHeight="1" x14ac:dyDescent="0.35">
      <c r="A241" s="1"/>
      <c r="B241" s="281"/>
      <c r="C241" s="179" t="s">
        <v>82</v>
      </c>
      <c r="D241" s="5">
        <f>D226</f>
        <v>1516</v>
      </c>
      <c r="E241" s="190">
        <f>SUM(E237:E240)</f>
        <v>10.349320000000001</v>
      </c>
      <c r="F241" s="190">
        <f>SUM(F237:F240)</f>
        <v>387.95749999999902</v>
      </c>
      <c r="G241" s="190">
        <f>D241-F241</f>
        <v>1128.0425000000009</v>
      </c>
      <c r="H241" s="190">
        <f>H237+H238+H239+H240</f>
        <v>715.77665999999897</v>
      </c>
      <c r="I241" s="1"/>
      <c r="J241" s="117"/>
    </row>
    <row r="242" spans="1:10" ht="14.15" customHeight="1" x14ac:dyDescent="0.35">
      <c r="A242" s="1"/>
      <c r="B242" s="281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35">
      <c r="A244" s="1"/>
      <c r="C244" s="145" t="s">
        <v>108</v>
      </c>
    </row>
    <row r="245" spans="1:10" ht="14.15" customHeight="1" x14ac:dyDescent="0.35">
      <c r="A245" s="1" t="s">
        <v>108</v>
      </c>
    </row>
    <row r="246" spans="1:10" ht="30" customHeight="1" x14ac:dyDescent="0.5">
      <c r="A246" s="223"/>
      <c r="B246" s="1"/>
      <c r="C246" s="213" t="s">
        <v>91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6"/>
      <c r="D247" s="266"/>
      <c r="E247" s="266"/>
      <c r="F247" s="266"/>
      <c r="G247" s="266"/>
      <c r="H247" s="266"/>
      <c r="I247" s="266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92</v>
      </c>
      <c r="F249" s="180"/>
      <c r="G249" s="144" t="s">
        <v>93</v>
      </c>
      <c r="H249" s="180"/>
      <c r="I249" s="145"/>
      <c r="J249" s="127"/>
    </row>
    <row r="250" spans="1:10" ht="14.25" customHeight="1" x14ac:dyDescent="0.35">
      <c r="B250" s="69"/>
      <c r="C250" s="285" t="s">
        <v>79</v>
      </c>
      <c r="D250" s="296">
        <v>28728</v>
      </c>
      <c r="E250" s="279" t="s">
        <v>4</v>
      </c>
      <c r="F250" s="99">
        <v>15215</v>
      </c>
      <c r="G250" s="275" t="s">
        <v>20</v>
      </c>
      <c r="H250" s="46">
        <v>7457</v>
      </c>
      <c r="I250" s="145"/>
      <c r="J250" s="127"/>
    </row>
    <row r="251" spans="1:10" ht="14.25" customHeight="1" x14ac:dyDescent="0.35">
      <c r="B251" s="69"/>
      <c r="C251" s="275" t="s">
        <v>86</v>
      </c>
      <c r="D251" s="46">
        <v>19199</v>
      </c>
      <c r="E251" s="173" t="s">
        <v>89</v>
      </c>
      <c r="F251" s="45">
        <v>8000</v>
      </c>
      <c r="G251" s="275" t="s">
        <v>21</v>
      </c>
      <c r="H251" s="46">
        <v>1941</v>
      </c>
      <c r="I251" s="145"/>
      <c r="J251" s="127"/>
    </row>
    <row r="252" spans="1:10" ht="14.25" customHeight="1" x14ac:dyDescent="0.35">
      <c r="B252" s="69"/>
      <c r="C252" s="275" t="s">
        <v>85</v>
      </c>
      <c r="D252" s="46">
        <v>6746</v>
      </c>
      <c r="E252" s="173" t="s">
        <v>56</v>
      </c>
      <c r="F252" s="45">
        <v>5500</v>
      </c>
      <c r="G252" s="275" t="s">
        <v>94</v>
      </c>
      <c r="H252" s="46">
        <v>4479</v>
      </c>
      <c r="I252" s="145"/>
      <c r="J252" s="127"/>
    </row>
    <row r="253" spans="1:10" ht="14.15" customHeight="1" x14ac:dyDescent="0.35">
      <c r="B253" s="69"/>
      <c r="C253" s="275"/>
      <c r="D253" s="46"/>
      <c r="E253" s="128"/>
      <c r="F253" s="141"/>
      <c r="G253" s="275" t="s">
        <v>95</v>
      </c>
      <c r="H253" s="46">
        <v>1338</v>
      </c>
      <c r="I253" s="145"/>
      <c r="J253" s="127"/>
    </row>
    <row r="254" spans="1:10" ht="14.15" customHeight="1" x14ac:dyDescent="0.35">
      <c r="B254" s="69"/>
      <c r="C254" s="57" t="s">
        <v>46</v>
      </c>
      <c r="D254" s="35">
        <v>54053</v>
      </c>
      <c r="E254" s="167" t="s">
        <v>96</v>
      </c>
      <c r="F254" s="35">
        <f>F250+F251+F252</f>
        <v>28715</v>
      </c>
      <c r="G254" s="57" t="s">
        <v>4</v>
      </c>
      <c r="H254" s="35">
        <f>SUM(H250:H253)</f>
        <v>15215</v>
      </c>
      <c r="I254" s="145"/>
      <c r="J254" s="127"/>
    </row>
    <row r="255" spans="1:10" ht="13.4" customHeight="1" x14ac:dyDescent="0.35">
      <c r="B255" s="69"/>
      <c r="C255" s="204" t="s">
        <v>119</v>
      </c>
      <c r="D255" s="173"/>
      <c r="E255" s="173"/>
      <c r="F255" s="173"/>
      <c r="G255" s="1"/>
      <c r="H255" s="173"/>
      <c r="I255" s="173"/>
      <c r="J255" s="271"/>
    </row>
    <row r="256" spans="1:10" ht="13.4" customHeight="1" x14ac:dyDescent="0.35">
      <c r="B256" s="69"/>
      <c r="C256" s="205" t="s">
        <v>115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8"/>
      <c r="C259" s="261" t="s">
        <v>15</v>
      </c>
      <c r="D259" s="261"/>
      <c r="E259" s="261"/>
      <c r="F259" s="261"/>
      <c r="G259" s="261"/>
      <c r="H259" s="261"/>
      <c r="I259" s="261"/>
      <c r="J259" s="265"/>
    </row>
    <row r="260" spans="1:10" ht="18.75" customHeight="1" x14ac:dyDescent="0.35">
      <c r="B260" s="193"/>
      <c r="C260" s="251"/>
      <c r="D260" s="251"/>
      <c r="E260" s="251"/>
      <c r="F260" s="251"/>
      <c r="G260" s="251"/>
      <c r="H260" s="251"/>
      <c r="I260" s="251"/>
      <c r="J260" s="13"/>
    </row>
    <row r="261" spans="1:10" ht="64.5" customHeight="1" x14ac:dyDescent="0.35">
      <c r="B261" s="69"/>
      <c r="C261" s="250" t="s">
        <v>16</v>
      </c>
      <c r="D261" s="259" t="s">
        <v>17</v>
      </c>
      <c r="E261" s="68" t="s">
        <v>121</v>
      </c>
      <c r="F261" s="250" t="s">
        <v>161</v>
      </c>
      <c r="G261" s="250" t="s">
        <v>162</v>
      </c>
      <c r="H261" s="250" t="s">
        <v>163</v>
      </c>
      <c r="I261" s="250" t="s">
        <v>164</v>
      </c>
      <c r="J261" s="127"/>
    </row>
    <row r="262" spans="1:10" ht="14.15" customHeight="1" x14ac:dyDescent="0.35">
      <c r="A262" s="223"/>
      <c r="B262" s="69"/>
      <c r="C262" s="274" t="s">
        <v>19</v>
      </c>
      <c r="D262" s="278">
        <f t="shared" ref="D262:I262" si="15">D266+D265+D264+D263</f>
        <v>15215</v>
      </c>
      <c r="E262" s="278">
        <f t="shared" si="15"/>
        <v>18840</v>
      </c>
      <c r="F262" s="280">
        <f t="shared" si="15"/>
        <v>193.45508999999998</v>
      </c>
      <c r="G262" s="280">
        <f t="shared" si="15"/>
        <v>1924.2177299999994</v>
      </c>
      <c r="H262" s="280">
        <f>H266+H265+H264+H263</f>
        <v>16915.782270000003</v>
      </c>
      <c r="I262" s="280">
        <f t="shared" si="15"/>
        <v>5517.9215599999998</v>
      </c>
      <c r="J262" s="127"/>
    </row>
    <row r="263" spans="1:10" ht="14.15" customHeight="1" x14ac:dyDescent="0.35">
      <c r="A263" s="223"/>
      <c r="B263" s="69"/>
      <c r="C263" s="282" t="s">
        <v>98</v>
      </c>
      <c r="D263" s="283">
        <v>7457</v>
      </c>
      <c r="E263" s="283">
        <v>10175</v>
      </c>
      <c r="F263" s="284">
        <f>128.8619</f>
        <v>128.86189999999999</v>
      </c>
      <c r="G263" s="284">
        <f>409.14531</f>
        <v>409.14530999999999</v>
      </c>
      <c r="H263" s="284">
        <f t="shared" ref="H263:H268" si="16">E263-G263</f>
        <v>9765.8546900000001</v>
      </c>
      <c r="I263" s="284">
        <f>1582.73521</f>
        <v>1582.7352100000001</v>
      </c>
      <c r="J263" s="127"/>
    </row>
    <row r="264" spans="1:10" ht="14.15" customHeight="1" x14ac:dyDescent="0.35">
      <c r="A264" s="223"/>
      <c r="B264" s="69"/>
      <c r="C264" s="286" t="s">
        <v>21</v>
      </c>
      <c r="D264" s="283">
        <v>1941</v>
      </c>
      <c r="E264" s="283">
        <v>2649</v>
      </c>
      <c r="F264" s="284">
        <f>0</f>
        <v>0</v>
      </c>
      <c r="G264" s="284">
        <f>35.64</f>
        <v>35.64</v>
      </c>
      <c r="H264" s="284">
        <f t="shared" si="16"/>
        <v>2613.36</v>
      </c>
      <c r="I264" s="284">
        <f>701.78751</f>
        <v>701.78751</v>
      </c>
      <c r="J264" s="127"/>
    </row>
    <row r="265" spans="1:10" ht="14.15" customHeight="1" x14ac:dyDescent="0.35">
      <c r="A265" s="223"/>
      <c r="B265" s="69"/>
      <c r="C265" s="286" t="s">
        <v>95</v>
      </c>
      <c r="D265" s="283">
        <v>1338</v>
      </c>
      <c r="E265" s="283">
        <v>1407</v>
      </c>
      <c r="F265" s="284">
        <f>7.2427</f>
        <v>7.2427000000000001</v>
      </c>
      <c r="G265" s="284">
        <f>777.533069999999</f>
        <v>777.53306999999904</v>
      </c>
      <c r="H265" s="284">
        <f t="shared" si="16"/>
        <v>629.46693000000096</v>
      </c>
      <c r="I265" s="284">
        <f>1042.66545</f>
        <v>1042.66545</v>
      </c>
      <c r="J265" s="127"/>
    </row>
    <row r="266" spans="1:10" ht="14.15" customHeight="1" x14ac:dyDescent="0.35">
      <c r="A266" s="223"/>
      <c r="B266" s="69"/>
      <c r="C266" s="288" t="s">
        <v>118</v>
      </c>
      <c r="D266" s="289">
        <v>4479</v>
      </c>
      <c r="E266" s="289">
        <v>4609</v>
      </c>
      <c r="F266" s="284">
        <f>57.35049</f>
        <v>57.350490000000001</v>
      </c>
      <c r="G266" s="284">
        <f>701.89935</f>
        <v>701.89935000000003</v>
      </c>
      <c r="H266" s="284">
        <f t="shared" si="16"/>
        <v>3907.1006499999999</v>
      </c>
      <c r="I266" s="284">
        <f>2190.73339</f>
        <v>2190.7333899999999</v>
      </c>
      <c r="J266" s="127"/>
    </row>
    <row r="267" spans="1:10" ht="14.15" customHeight="1" x14ac:dyDescent="0.35">
      <c r="A267" s="223"/>
      <c r="B267" s="69"/>
      <c r="C267" s="291" t="s">
        <v>56</v>
      </c>
      <c r="D267" s="292">
        <v>5500</v>
      </c>
      <c r="E267" s="292">
        <v>5500</v>
      </c>
      <c r="F267" s="294">
        <f>35.446</f>
        <v>35.445999999999998</v>
      </c>
      <c r="G267" s="294">
        <f>1485.51059</f>
        <v>1485.5105900000001</v>
      </c>
      <c r="H267" s="294">
        <f t="shared" si="16"/>
        <v>4014.4894100000001</v>
      </c>
      <c r="I267" s="294">
        <f>4095.23824</f>
        <v>4095.2382400000001</v>
      </c>
      <c r="J267" s="127"/>
    </row>
    <row r="268" spans="1:10" ht="14.15" customHeight="1" x14ac:dyDescent="0.35">
      <c r="A268" s="223"/>
      <c r="B268" s="69"/>
      <c r="C268" s="274" t="s">
        <v>22</v>
      </c>
      <c r="D268" s="278">
        <v>8000</v>
      </c>
      <c r="E268" s="278">
        <v>8000</v>
      </c>
      <c r="F268" s="295">
        <f>F270+F269</f>
        <v>19.090109999999999</v>
      </c>
      <c r="G268" s="295">
        <f>G270+G269</f>
        <v>1137.6964200000009</v>
      </c>
      <c r="H268" s="295">
        <f t="shared" si="16"/>
        <v>6862.3035799999989</v>
      </c>
      <c r="I268" s="295">
        <f>I270+I269</f>
        <v>1324.130700000002</v>
      </c>
      <c r="J268" s="127"/>
    </row>
    <row r="269" spans="1:10" ht="14.15" customHeight="1" x14ac:dyDescent="0.35">
      <c r="A269" s="223"/>
      <c r="B269" s="69"/>
      <c r="C269" s="286" t="s">
        <v>50</v>
      </c>
      <c r="D269" s="297"/>
      <c r="E269" s="283"/>
      <c r="F269" s="284">
        <f>0</f>
        <v>0</v>
      </c>
      <c r="G269" s="284">
        <f>331.84864</f>
        <v>331.84863999999999</v>
      </c>
      <c r="H269" s="284"/>
      <c r="I269" s="284">
        <f>451.03336</f>
        <v>451.03336000000002</v>
      </c>
      <c r="J269" s="127"/>
    </row>
    <row r="270" spans="1:10" ht="14.15" customHeight="1" x14ac:dyDescent="0.35">
      <c r="A270" s="223"/>
      <c r="B270" s="69"/>
      <c r="C270" s="299" t="s">
        <v>99</v>
      </c>
      <c r="D270" s="300"/>
      <c r="E270" s="302"/>
      <c r="F270" s="303">
        <f>19.09011</f>
        <v>19.090109999999999</v>
      </c>
      <c r="G270" s="303">
        <f>805.847780000001</f>
        <v>805.84778000000097</v>
      </c>
      <c r="H270" s="303"/>
      <c r="I270" s="303">
        <f>873.097340000002</f>
        <v>873.09734000000196</v>
      </c>
      <c r="J270" s="127"/>
    </row>
    <row r="271" spans="1:10" ht="14.15" customHeight="1" x14ac:dyDescent="0.35">
      <c r="A271" s="223"/>
      <c r="B271" s="69"/>
      <c r="C271" s="291" t="s">
        <v>33</v>
      </c>
      <c r="D271" s="292">
        <v>13</v>
      </c>
      <c r="E271" s="292">
        <v>13</v>
      </c>
      <c r="F271" s="294">
        <f>0</f>
        <v>0</v>
      </c>
      <c r="G271" s="294">
        <f>0.11492</f>
        <v>0.11491999999999999</v>
      </c>
      <c r="H271" s="294">
        <f>E271-G271</f>
        <v>12.88508</v>
      </c>
      <c r="I271" s="294">
        <f>0.5685</f>
        <v>0.56850000000000001</v>
      </c>
      <c r="J271" s="127"/>
    </row>
    <row r="272" spans="1:10" ht="14.15" customHeight="1" x14ac:dyDescent="0.35">
      <c r="A272" s="223"/>
      <c r="B272" s="69"/>
      <c r="C272" s="304" t="s">
        <v>100</v>
      </c>
      <c r="D272" s="307"/>
      <c r="E272" s="308"/>
      <c r="F272" s="294">
        <f>0.731</f>
        <v>0.73099999999999998</v>
      </c>
      <c r="G272" s="294">
        <f>27.83729</f>
        <v>27.837289999999999</v>
      </c>
      <c r="H272" s="294">
        <f>E272-G272</f>
        <v>-27.837289999999999</v>
      </c>
      <c r="I272" s="294">
        <f>43.1762</f>
        <v>43.176200000000001</v>
      </c>
      <c r="J272" s="127"/>
    </row>
    <row r="273" spans="1:10" ht="19.5" customHeight="1" x14ac:dyDescent="0.35">
      <c r="A273" s="223"/>
      <c r="B273" s="69"/>
      <c r="C273" s="310" t="s">
        <v>39</v>
      </c>
      <c r="D273" s="311">
        <f>D262+D267+D268+D271+D272</f>
        <v>28728</v>
      </c>
      <c r="E273" s="311">
        <f>E262+E267+E268+E271+E272</f>
        <v>32353</v>
      </c>
      <c r="F273" s="312">
        <f t="shared" ref="F273:I273" si="17">F262+F267+F268+F271+F272</f>
        <v>248.72219999999999</v>
      </c>
      <c r="G273" s="312">
        <f t="shared" si="17"/>
        <v>4575.3769500000008</v>
      </c>
      <c r="H273" s="312">
        <f>H262+H267+H268+H271+H272</f>
        <v>27777.623050000006</v>
      </c>
      <c r="I273" s="312">
        <f t="shared" si="17"/>
        <v>10981.0352</v>
      </c>
      <c r="J273" s="127"/>
    </row>
    <row r="274" spans="1:10" ht="14.15" customHeight="1" x14ac:dyDescent="0.35">
      <c r="A274" s="223"/>
      <c r="B274" s="69"/>
      <c r="C274" s="156" t="s">
        <v>101</v>
      </c>
      <c r="D274" s="314"/>
      <c r="E274" s="314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152</v>
      </c>
      <c r="D275" s="314"/>
      <c r="E275" s="314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153</v>
      </c>
      <c r="D276" s="314"/>
      <c r="E276" s="314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108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108</v>
      </c>
      <c r="D279" s="152"/>
    </row>
    <row r="280" spans="1:10" ht="14.15" customHeight="1" x14ac:dyDescent="0.35">
      <c r="A280" s="223"/>
      <c r="B280" s="120"/>
      <c r="C280" s="266"/>
      <c r="D280" s="16"/>
      <c r="E280" s="266"/>
      <c r="F280" s="266"/>
      <c r="G280" s="266"/>
      <c r="H280" s="266"/>
      <c r="I280" s="266"/>
      <c r="J280" s="58"/>
    </row>
    <row r="281" spans="1:10" ht="14.15" customHeight="1" x14ac:dyDescent="0.35">
      <c r="A281" s="223"/>
      <c r="B281" s="69"/>
      <c r="C281" s="233" t="s">
        <v>102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5" t="s">
        <v>6</v>
      </c>
      <c r="D284" s="296">
        <v>2363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5" t="s">
        <v>86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5" t="s">
        <v>69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0" t="s">
        <v>116</v>
      </c>
      <c r="D288" s="320"/>
      <c r="E288" s="320"/>
      <c r="F288" s="320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8"/>
      <c r="C292" s="261" t="s">
        <v>15</v>
      </c>
      <c r="D292" s="261"/>
      <c r="E292" s="261"/>
      <c r="F292" s="261"/>
      <c r="G292" s="261"/>
      <c r="H292" s="261"/>
      <c r="I292" s="261"/>
      <c r="J292" s="265"/>
    </row>
    <row r="293" spans="1:10" ht="78" customHeight="1" x14ac:dyDescent="0.35">
      <c r="A293" s="223"/>
      <c r="B293" s="193"/>
      <c r="C293" s="19" t="s">
        <v>103</v>
      </c>
      <c r="D293" s="21" t="s">
        <v>104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51"/>
      <c r="J293" s="13"/>
    </row>
    <row r="294" spans="1:10" ht="14.15" customHeight="1" x14ac:dyDescent="0.35">
      <c r="A294" s="223"/>
      <c r="B294" s="69"/>
      <c r="C294" s="291" t="s">
        <v>105</v>
      </c>
      <c r="D294" s="197">
        <v>779</v>
      </c>
      <c r="E294" s="25">
        <f>SUM(E295:E296)</f>
        <v>0</v>
      </c>
      <c r="F294" s="25">
        <f>SUM(F295:F296)</f>
        <v>928.56393000000003</v>
      </c>
      <c r="G294" s="82">
        <f>D294-F294</f>
        <v>-149.56393000000003</v>
      </c>
      <c r="H294" s="25">
        <f>SUM(H295:H296)</f>
        <v>1023.31638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0</f>
        <v>0</v>
      </c>
      <c r="F295" s="198">
        <f>687.65275</f>
        <v>687.65274999999997</v>
      </c>
      <c r="G295" s="199"/>
      <c r="H295" s="198">
        <f>779.02908</f>
        <v>779.02908000000002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244.2873</f>
        <v>244.28729999999999</v>
      </c>
      <c r="I296" s="145"/>
      <c r="J296" s="127"/>
    </row>
    <row r="297" spans="1:10" ht="14.15" customHeight="1" x14ac:dyDescent="0.35">
      <c r="A297" s="223"/>
      <c r="B297" s="69"/>
      <c r="C297" s="291" t="s">
        <v>106</v>
      </c>
      <c r="D297" s="9">
        <v>779</v>
      </c>
      <c r="E297" s="25">
        <f>SUM(E298:E299)</f>
        <v>0</v>
      </c>
      <c r="F297" s="25">
        <f>SUM(F298:F299)</f>
        <v>648.55110000000002</v>
      </c>
      <c r="G297" s="82">
        <f>D297-F297</f>
        <v>130.44889999999998</v>
      </c>
      <c r="H297" s="25">
        <f>SUM(H298:H299)</f>
        <v>990.66624999999999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0</f>
        <v>0</v>
      </c>
      <c r="F298" s="29">
        <f>509.423</f>
        <v>509.423</v>
      </c>
      <c r="G298" s="94"/>
      <c r="H298" s="29">
        <f>766.97823</f>
        <v>766.97823000000005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8"/>
      <c r="E299" s="29">
        <f>0</f>
        <v>0</v>
      </c>
      <c r="F299" s="29">
        <f>139.1281</f>
        <v>139.12809999999999</v>
      </c>
      <c r="G299" s="105"/>
      <c r="H299" s="29">
        <f>223.68802</f>
        <v>223.68801999999999</v>
      </c>
      <c r="I299" s="145"/>
      <c r="J299" s="127"/>
    </row>
    <row r="300" spans="1:10" ht="14.15" customHeight="1" x14ac:dyDescent="0.35">
      <c r="A300" s="223"/>
      <c r="B300" s="69"/>
      <c r="C300" s="291" t="s">
        <v>107</v>
      </c>
      <c r="D300" s="9">
        <v>805</v>
      </c>
      <c r="E300" s="34">
        <f>SUM(E301:E302)</f>
        <v>76.309100000000001</v>
      </c>
      <c r="F300" s="34">
        <f>SUM(F301:F302)</f>
        <v>736.71519000000001</v>
      </c>
      <c r="G300" s="82">
        <f>D300-F300</f>
        <v>68.284809999999993</v>
      </c>
      <c r="H300" s="34">
        <f>SUM(H301:H302)</f>
        <v>734.18461000000002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69.6326</f>
        <v>69.632599999999996</v>
      </c>
      <c r="F301" s="29">
        <f>570.36234</f>
        <v>570.36234000000002</v>
      </c>
      <c r="G301" s="94"/>
      <c r="H301" s="29">
        <f>506.20254</f>
        <v>506.20254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8"/>
      <c r="E302" s="29">
        <f>6.6765</f>
        <v>6.6764999999999999</v>
      </c>
      <c r="F302" s="29">
        <f>166.35285</f>
        <v>166.35284999999999</v>
      </c>
      <c r="G302" s="105"/>
      <c r="H302" s="29">
        <f>227.98207</f>
        <v>227.98206999999999</v>
      </c>
      <c r="I302" s="145"/>
      <c r="J302" s="127"/>
    </row>
    <row r="303" spans="1:10" ht="14.15" customHeight="1" x14ac:dyDescent="0.35">
      <c r="A303" s="223"/>
      <c r="B303" s="69"/>
      <c r="C303" s="304" t="s">
        <v>90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10" t="s">
        <v>82</v>
      </c>
      <c r="D304" s="38">
        <f>D294+D297+D300</f>
        <v>2363</v>
      </c>
      <c r="E304" s="39">
        <f>E294+E297+E300+E303</f>
        <v>76.309100000000001</v>
      </c>
      <c r="F304" s="39">
        <f>F294+F297+F300+F303</f>
        <v>2313.8302199999998</v>
      </c>
      <c r="G304" s="40">
        <f>D304-F304</f>
        <v>49.169780000000173</v>
      </c>
      <c r="H304" s="39">
        <f>H294+H297+H300+H303</f>
        <v>2748.1672399999998</v>
      </c>
      <c r="I304" s="26"/>
      <c r="J304" s="127"/>
    </row>
    <row r="305" spans="1:10" ht="42" customHeight="1" x14ac:dyDescent="0.35">
      <c r="A305" s="223"/>
      <c r="B305" s="230"/>
      <c r="C305" s="322" t="s">
        <v>111</v>
      </c>
      <c r="D305" s="322"/>
      <c r="E305" s="322"/>
      <c r="F305" s="322"/>
      <c r="G305" s="322"/>
      <c r="H305" s="322"/>
      <c r="I305" s="322"/>
      <c r="J305" s="323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108</v>
      </c>
      <c r="D307" s="152"/>
    </row>
    <row r="308" spans="1:10" ht="15.65" customHeight="1" x14ac:dyDescent="0.35">
      <c r="A308" s="223"/>
      <c r="B308" s="120"/>
      <c r="C308" s="266"/>
      <c r="D308" s="16"/>
      <c r="E308" s="266"/>
      <c r="F308" s="266"/>
      <c r="G308" s="266"/>
      <c r="H308" s="266"/>
      <c r="I308" s="266"/>
      <c r="J308" s="58"/>
    </row>
    <row r="309" spans="1:10" ht="19" customHeight="1" x14ac:dyDescent="0.35">
      <c r="A309" s="223"/>
      <c r="B309" s="69"/>
      <c r="C309" s="233" t="s">
        <v>123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124</v>
      </c>
      <c r="E311" s="212" t="s">
        <v>125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238</v>
      </c>
      <c r="E312" s="234">
        <v>21237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86</v>
      </c>
      <c r="D313" s="231">
        <v>5437</v>
      </c>
      <c r="E313" s="234">
        <v>11256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126</v>
      </c>
      <c r="D314" s="231"/>
      <c r="E314" s="234">
        <v>59844</v>
      </c>
      <c r="F314" s="145"/>
      <c r="G314" s="145"/>
      <c r="H314" s="145"/>
      <c r="I314" s="145"/>
      <c r="J314" s="127"/>
    </row>
    <row r="315" spans="1:10" ht="19.5" customHeight="1" x14ac:dyDescent="0.35">
      <c r="A315" s="223"/>
      <c r="B315" s="69"/>
      <c r="C315" s="172" t="s">
        <v>46</v>
      </c>
      <c r="D315" s="232">
        <f>D312+D313</f>
        <v>5675</v>
      </c>
      <c r="E315" s="235">
        <f>E312+E313+E314</f>
        <v>92337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0" t="s">
        <v>154</v>
      </c>
      <c r="D316" s="320"/>
      <c r="E316" s="320"/>
      <c r="F316" s="320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8"/>
      <c r="C320" s="261" t="s">
        <v>15</v>
      </c>
      <c r="D320" s="261"/>
      <c r="E320" s="261"/>
      <c r="F320" s="261"/>
      <c r="G320" s="261"/>
      <c r="H320" s="261"/>
      <c r="I320" s="261"/>
      <c r="J320" s="265"/>
    </row>
    <row r="321" spans="1:10" ht="42" customHeight="1" x14ac:dyDescent="0.35">
      <c r="A321" s="223"/>
      <c r="B321" s="193"/>
      <c r="C321" s="19" t="s">
        <v>103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51"/>
      <c r="J321" s="13"/>
    </row>
    <row r="322" spans="1:10" ht="18.75" customHeight="1" x14ac:dyDescent="0.35">
      <c r="A322" s="223"/>
      <c r="B322" s="69"/>
      <c r="C322" s="236" t="s">
        <v>132</v>
      </c>
      <c r="D322" s="237">
        <v>238</v>
      </c>
      <c r="E322" s="29">
        <f>1.28646</f>
        <v>1.2864599999999999</v>
      </c>
      <c r="F322" s="29">
        <f>195.39644</f>
        <v>195.39644000000001</v>
      </c>
      <c r="G322" s="238">
        <f>D322-F322</f>
        <v>42.603559999999987</v>
      </c>
      <c r="H322" s="29">
        <f>113.86072</f>
        <v>113.86072</v>
      </c>
      <c r="I322" s="242"/>
      <c r="J322" s="127"/>
    </row>
    <row r="323" spans="1:10" ht="17.5" customHeight="1" x14ac:dyDescent="0.35">
      <c r="A323" s="223"/>
      <c r="B323" s="69"/>
      <c r="C323" s="239" t="s">
        <v>133</v>
      </c>
      <c r="D323" s="240">
        <v>21237</v>
      </c>
      <c r="E323" s="29">
        <f>59.24134</f>
        <v>59.241340000000001</v>
      </c>
      <c r="F323" s="29">
        <f>541.687810000001</f>
        <v>541.68781000000104</v>
      </c>
      <c r="G323" s="241">
        <f>D323-F323</f>
        <v>20695.312190000001</v>
      </c>
      <c r="H323" s="29">
        <f>581.898190000001</f>
        <v>581.89819000000102</v>
      </c>
      <c r="I323" s="26"/>
      <c r="J323" s="127"/>
    </row>
    <row r="324" spans="1:10" ht="17.149999999999999" customHeight="1" x14ac:dyDescent="0.35">
      <c r="A324" s="223"/>
      <c r="B324" s="69"/>
      <c r="C324" s="310" t="s">
        <v>82</v>
      </c>
      <c r="D324" s="229">
        <f>D322+D323</f>
        <v>21475</v>
      </c>
      <c r="E324" s="39">
        <f>E323+E322</f>
        <v>60.527799999999999</v>
      </c>
      <c r="F324" s="39">
        <f>F323+F322</f>
        <v>737.08425000000102</v>
      </c>
      <c r="G324" s="39">
        <f>G323+G322</f>
        <v>20737.91575</v>
      </c>
      <c r="H324" s="39">
        <f>H323+H322</f>
        <v>695.75891000000104</v>
      </c>
      <c r="I324" s="26"/>
      <c r="J324" s="127"/>
    </row>
    <row r="325" spans="1:10" ht="22.5" customHeight="1" x14ac:dyDescent="0.35">
      <c r="A325" s="223"/>
      <c r="B325" s="69"/>
      <c r="C325" s="318" t="s">
        <v>155</v>
      </c>
      <c r="D325" s="318"/>
      <c r="E325" s="318"/>
      <c r="F325" s="318"/>
      <c r="G325" s="318"/>
      <c r="H325" s="318"/>
      <c r="I325" s="318"/>
      <c r="J325" s="319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108</v>
      </c>
      <c r="D328" s="152"/>
    </row>
    <row r="329" spans="1:10" ht="0" hidden="1" customHeight="1" x14ac:dyDescent="0.35">
      <c r="A329" s="223"/>
      <c r="B329" s="120"/>
      <c r="C329" s="266"/>
      <c r="D329" s="16"/>
      <c r="E329" s="266"/>
      <c r="F329" s="266"/>
      <c r="G329" s="266"/>
      <c r="H329" s="266"/>
      <c r="I329" s="266"/>
      <c r="J329" s="58"/>
    </row>
    <row r="330" spans="1:10" ht="0" hidden="1" customHeight="1" x14ac:dyDescent="0.35">
      <c r="A330" s="223"/>
      <c r="B330" s="69"/>
      <c r="C330" s="233" t="s">
        <v>123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124</v>
      </c>
      <c r="E332" s="212" t="s">
        <v>125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86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126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17" t="s">
        <v>127</v>
      </c>
      <c r="D337" s="317"/>
      <c r="E337" s="317"/>
      <c r="F337" s="317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8"/>
      <c r="C341" s="261" t="s">
        <v>15</v>
      </c>
      <c r="D341" s="261"/>
      <c r="E341" s="261"/>
      <c r="F341" s="261"/>
      <c r="G341" s="261"/>
      <c r="H341" s="261"/>
      <c r="I341" s="261"/>
      <c r="J341" s="265"/>
    </row>
    <row r="342" spans="1:10" ht="0" hidden="1" customHeight="1" x14ac:dyDescent="0.35">
      <c r="A342" s="223"/>
      <c r="B342" s="193"/>
      <c r="C342" s="19" t="s">
        <v>103</v>
      </c>
      <c r="D342" s="19" t="s">
        <v>1</v>
      </c>
      <c r="E342" s="250" t="s">
        <v>128</v>
      </c>
      <c r="F342" s="250" t="s">
        <v>129</v>
      </c>
      <c r="G342" s="250" t="s">
        <v>130</v>
      </c>
      <c r="H342" s="224" t="s">
        <v>131</v>
      </c>
      <c r="I342" s="251"/>
      <c r="J342" s="13"/>
    </row>
    <row r="343" spans="1:10" ht="0" hidden="1" customHeight="1" x14ac:dyDescent="0.35">
      <c r="A343" s="223"/>
      <c r="B343" s="69"/>
      <c r="C343" s="225" t="s">
        <v>132</v>
      </c>
      <c r="D343" s="226">
        <v>248</v>
      </c>
      <c r="E343" s="227"/>
      <c r="F343" s="227"/>
      <c r="G343" s="294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91" t="s">
        <v>133</v>
      </c>
      <c r="D344" s="228">
        <v>22048</v>
      </c>
      <c r="E344" s="227"/>
      <c r="F344" s="227"/>
      <c r="G344" s="294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10" t="s">
        <v>82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18" t="s">
        <v>134</v>
      </c>
      <c r="D346" s="318"/>
      <c r="E346" s="318"/>
      <c r="F346" s="318"/>
      <c r="G346" s="318"/>
      <c r="H346" s="318"/>
      <c r="I346" s="318"/>
      <c r="J346" s="319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25&amp;R22.06.2026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2026-06-22T12:54:01Z</dcterms:modified>
</cp:coreProperties>
</file>