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16120432-31BF-4672-B5CC-97E9C87035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F345" i="1"/>
  <c r="E345" i="1"/>
  <c r="D345" i="1"/>
  <c r="G344" i="1"/>
  <c r="G345" i="1" s="1"/>
  <c r="G343" i="1"/>
  <c r="E336" i="1"/>
  <c r="D324" i="1"/>
  <c r="H323" i="1"/>
  <c r="H324" i="1" s="1"/>
  <c r="G323" i="1"/>
  <c r="F323" i="1"/>
  <c r="F324" i="1" s="1"/>
  <c r="E323" i="1"/>
  <c r="E324" i="1" s="1"/>
  <c r="H322" i="1"/>
  <c r="G322" i="1"/>
  <c r="G324" i="1" s="1"/>
  <c r="F322" i="1"/>
  <c r="E322" i="1"/>
  <c r="E315" i="1"/>
  <c r="D315" i="1"/>
  <c r="D304" i="1"/>
  <c r="H303" i="1"/>
  <c r="F303" i="1"/>
  <c r="G303" i="1" s="1"/>
  <c r="E303" i="1"/>
  <c r="H302" i="1"/>
  <c r="F302" i="1"/>
  <c r="E302" i="1"/>
  <c r="E300" i="1" s="1"/>
  <c r="H301" i="1"/>
  <c r="H300" i="1" s="1"/>
  <c r="F301" i="1"/>
  <c r="E301" i="1"/>
  <c r="F300" i="1"/>
  <c r="G300" i="1" s="1"/>
  <c r="H299" i="1"/>
  <c r="H297" i="1" s="1"/>
  <c r="F299" i="1"/>
  <c r="E299" i="1"/>
  <c r="H298" i="1"/>
  <c r="F298" i="1"/>
  <c r="F297" i="1" s="1"/>
  <c r="G297" i="1" s="1"/>
  <c r="E298" i="1"/>
  <c r="E297" i="1"/>
  <c r="H296" i="1"/>
  <c r="F296" i="1"/>
  <c r="E296" i="1"/>
  <c r="H295" i="1"/>
  <c r="F295" i="1"/>
  <c r="F294" i="1" s="1"/>
  <c r="E295" i="1"/>
  <c r="E294" i="1" s="1"/>
  <c r="E304" i="1" s="1"/>
  <c r="H294" i="1"/>
  <c r="D273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H266" i="1"/>
  <c r="G266" i="1"/>
  <c r="F266" i="1"/>
  <c r="I265" i="1"/>
  <c r="I262" i="1" s="1"/>
  <c r="I273" i="1" s="1"/>
  <c r="G265" i="1"/>
  <c r="G262" i="1" s="1"/>
  <c r="G273" i="1" s="1"/>
  <c r="F265" i="1"/>
  <c r="F262" i="1" s="1"/>
  <c r="F273" i="1" s="1"/>
  <c r="I264" i="1"/>
  <c r="H264" i="1"/>
  <c r="G264" i="1"/>
  <c r="F264" i="1"/>
  <c r="I263" i="1"/>
  <c r="G263" i="1"/>
  <c r="H263" i="1" s="1"/>
  <c r="F263" i="1"/>
  <c r="E262" i="1"/>
  <c r="E273" i="1" s="1"/>
  <c r="D262" i="1"/>
  <c r="H254" i="1"/>
  <c r="F254" i="1"/>
  <c r="D241" i="1"/>
  <c r="G241" i="1" s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H241" i="1" s="1"/>
  <c r="F237" i="1"/>
  <c r="F241" i="1" s="1"/>
  <c r="E237" i="1"/>
  <c r="E241" i="1" s="1"/>
  <c r="D219" i="1"/>
  <c r="H218" i="1"/>
  <c r="F218" i="1"/>
  <c r="G218" i="1" s="1"/>
  <c r="E218" i="1"/>
  <c r="H217" i="1"/>
  <c r="F217" i="1"/>
  <c r="F215" i="1" s="1"/>
  <c r="E217" i="1"/>
  <c r="E215" i="1" s="1"/>
  <c r="E219" i="1" s="1"/>
  <c r="H216" i="1"/>
  <c r="F216" i="1"/>
  <c r="E216" i="1"/>
  <c r="H215" i="1"/>
  <c r="H219" i="1" s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F202" i="1" s="1"/>
  <c r="E203" i="1"/>
  <c r="E202" i="1"/>
  <c r="E206" i="1" s="1"/>
  <c r="E192" i="1"/>
  <c r="D192" i="1"/>
  <c r="I191" i="1"/>
  <c r="G191" i="1"/>
  <c r="H191" i="1" s="1"/>
  <c r="F191" i="1"/>
  <c r="I190" i="1"/>
  <c r="I192" i="1" s="1"/>
  <c r="G190" i="1"/>
  <c r="H190" i="1" s="1"/>
  <c r="F190" i="1"/>
  <c r="I189" i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F164" i="1"/>
  <c r="E164" i="1"/>
  <c r="E163" i="1" s="1"/>
  <c r="G163" i="1"/>
  <c r="F163" i="1"/>
  <c r="H162" i="1"/>
  <c r="G162" i="1"/>
  <c r="F162" i="1"/>
  <c r="E162" i="1"/>
  <c r="H161" i="1"/>
  <c r="F161" i="1"/>
  <c r="E161" i="1"/>
  <c r="E169" i="1" s="1"/>
  <c r="H160" i="1"/>
  <c r="F160" i="1"/>
  <c r="F169" i="1" s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H128" i="1"/>
  <c r="G128" i="1"/>
  <c r="F128" i="1"/>
  <c r="F126" i="1" s="1"/>
  <c r="F120" i="1" s="1"/>
  <c r="I127" i="1"/>
  <c r="I126" i="1" s="1"/>
  <c r="G127" i="1"/>
  <c r="H127" i="1" s="1"/>
  <c r="H126" i="1" s="1"/>
  <c r="F127" i="1"/>
  <c r="G126" i="1"/>
  <c r="E126" i="1"/>
  <c r="D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I121" i="1" s="1"/>
  <c r="I120" i="1" s="1"/>
  <c r="H122" i="1"/>
  <c r="H121" i="1" s="1"/>
  <c r="G122" i="1"/>
  <c r="G121" i="1" s="1"/>
  <c r="G120" i="1" s="1"/>
  <c r="G137" i="1" s="1"/>
  <c r="F122" i="1"/>
  <c r="F121" i="1"/>
  <c r="E121" i="1"/>
  <c r="E120" i="1" s="1"/>
  <c r="D121" i="1"/>
  <c r="D120" i="1" s="1"/>
  <c r="I119" i="1"/>
  <c r="H119" i="1"/>
  <c r="G119" i="1"/>
  <c r="F119" i="1"/>
  <c r="I118" i="1"/>
  <c r="H118" i="1"/>
  <c r="G118" i="1"/>
  <c r="F118" i="1"/>
  <c r="I117" i="1"/>
  <c r="H117" i="1"/>
  <c r="H115" i="1" s="1"/>
  <c r="G117" i="1"/>
  <c r="F117" i="1"/>
  <c r="I116" i="1"/>
  <c r="H116" i="1"/>
  <c r="G116" i="1"/>
  <c r="F116" i="1"/>
  <c r="F115" i="1" s="1"/>
  <c r="I115" i="1"/>
  <c r="I137" i="1" s="1"/>
  <c r="G115" i="1"/>
  <c r="E115" i="1"/>
  <c r="D115" i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H86" i="1"/>
  <c r="G86" i="1"/>
  <c r="F86" i="1"/>
  <c r="I85" i="1"/>
  <c r="G85" i="1"/>
  <c r="H85" i="1" s="1"/>
  <c r="F85" i="1"/>
  <c r="I84" i="1"/>
  <c r="I83" i="1" s="1"/>
  <c r="I82" i="1" s="1"/>
  <c r="H84" i="1"/>
  <c r="H83" i="1" s="1"/>
  <c r="H82" i="1" s="1"/>
  <c r="G84" i="1"/>
  <c r="F84" i="1"/>
  <c r="G83" i="1"/>
  <c r="F83" i="1"/>
  <c r="F82" i="1" s="1"/>
  <c r="E83" i="1"/>
  <c r="E82" i="1" s="1"/>
  <c r="D83" i="1"/>
  <c r="D82" i="1" s="1"/>
  <c r="G82" i="1"/>
  <c r="I81" i="1"/>
  <c r="I79" i="1" s="1"/>
  <c r="I94" i="1" s="1"/>
  <c r="H81" i="1"/>
  <c r="G81" i="1"/>
  <c r="F81" i="1"/>
  <c r="I80" i="1"/>
  <c r="G80" i="1"/>
  <c r="G79" i="1" s="1"/>
  <c r="G94" i="1" s="1"/>
  <c r="F80" i="1"/>
  <c r="F79" i="1" s="1"/>
  <c r="E79" i="1"/>
  <c r="E94" i="1" s="1"/>
  <c r="D79" i="1"/>
  <c r="D94" i="1" s="1"/>
  <c r="C76" i="1"/>
  <c r="H72" i="1"/>
  <c r="F72" i="1"/>
  <c r="D72" i="1"/>
  <c r="H58" i="1"/>
  <c r="H57" i="1"/>
  <c r="I52" i="1"/>
  <c r="G52" i="1"/>
  <c r="G31" i="1" s="1"/>
  <c r="H31" i="1" s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G34" i="1"/>
  <c r="H34" i="1" s="1"/>
  <c r="F34" i="1"/>
  <c r="F33" i="1" s="1"/>
  <c r="F25" i="1" s="1"/>
  <c r="I33" i="1"/>
  <c r="I25" i="1" s="1"/>
  <c r="G33" i="1"/>
  <c r="E33" i="1"/>
  <c r="D33" i="1"/>
  <c r="I32" i="1"/>
  <c r="G32" i="1"/>
  <c r="H32" i="1" s="1"/>
  <c r="F32" i="1"/>
  <c r="I31" i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I27" i="1"/>
  <c r="I26" i="1" s="1"/>
  <c r="H27" i="1"/>
  <c r="G27" i="1"/>
  <c r="F27" i="1"/>
  <c r="F26" i="1"/>
  <c r="E26" i="1"/>
  <c r="E25" i="1" s="1"/>
  <c r="D26" i="1"/>
  <c r="D25" i="1" s="1"/>
  <c r="I24" i="1"/>
  <c r="H24" i="1"/>
  <c r="G24" i="1"/>
  <c r="F24" i="1"/>
  <c r="F22" i="1" s="1"/>
  <c r="I23" i="1"/>
  <c r="G23" i="1"/>
  <c r="G22" i="1" s="1"/>
  <c r="F23" i="1"/>
  <c r="I22" i="1"/>
  <c r="I42" i="1" s="1"/>
  <c r="E22" i="1"/>
  <c r="D22" i="1"/>
  <c r="H16" i="1"/>
  <c r="F16" i="1"/>
  <c r="D16" i="1"/>
  <c r="F42" i="1" l="1"/>
  <c r="G202" i="1"/>
  <c r="F206" i="1"/>
  <c r="D42" i="1"/>
  <c r="F94" i="1"/>
  <c r="D137" i="1"/>
  <c r="G169" i="1"/>
  <c r="H26" i="1"/>
  <c r="E42" i="1"/>
  <c r="E137" i="1"/>
  <c r="H120" i="1"/>
  <c r="G206" i="1"/>
  <c r="H137" i="1"/>
  <c r="H169" i="1"/>
  <c r="H304" i="1"/>
  <c r="F137" i="1"/>
  <c r="F219" i="1"/>
  <c r="G219" i="1" s="1"/>
  <c r="G215" i="1"/>
  <c r="F304" i="1"/>
  <c r="G304" i="1" s="1"/>
  <c r="G294" i="1"/>
  <c r="G192" i="1"/>
  <c r="H192" i="1" s="1"/>
  <c r="H265" i="1"/>
  <c r="H262" i="1" s="1"/>
  <c r="H273" i="1" s="1"/>
  <c r="H33" i="1"/>
  <c r="G26" i="1"/>
  <c r="G25" i="1" s="1"/>
  <c r="G42" i="1" s="1"/>
  <c r="G237" i="1"/>
  <c r="H23" i="1"/>
  <c r="H22" i="1" s="1"/>
  <c r="H52" i="1"/>
  <c r="H80" i="1"/>
  <c r="H79" i="1" s="1"/>
  <c r="H94" i="1" s="1"/>
  <c r="G160" i="1"/>
  <c r="H25" i="1" l="1"/>
  <c r="H42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<sst xmlns="http://schemas.openxmlformats.org/spreadsheetml/2006/main" count="391" uniqueCount="166">
  <si>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</si>
  <si>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</si>
  <si>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</si>
  <si>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</si>
  <si>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</si>
  <si>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</si>
  <si>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</si>
  <si>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</si>
  <si>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</si>
  <si>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</si>
  <si>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</si>
  <si>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</si>
  <si>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</si>
  <si>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</si>
  <si>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</si>
  <si>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</si>
  <si>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</si>
  <si>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</si>
  <si>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</si>
  <si>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</si>
  <si>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</si>
  <si>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</si>
  <si>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</si>
  <si>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</si>
  <si>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</si>
  <si>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</si>
  <si>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</si>
  <si>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</si>
  <si>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</si>
  <si>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</si>
  <si>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</si>
  <si>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</si>
  <si>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</si>
  <si>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</si>
  <si>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</si>
  <si>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</si>
  <si>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</si>
  <si>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</si>
  <si>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</si>
  <si>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</si>
  <si>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</si>
  <si>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</si>
  <si>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</si>
  <si>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</si>
  <si>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</si>
  <si>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</si>
  <si>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</si>
  <si>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</si>
  <si>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</si>
  <si>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</si>
  <si>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</si>
  <si>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</si>
  <si>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</si>
  <si>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</si>
  <si>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</si>
  <si>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</si>
  <si>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</si>
  <si>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</si>
  <si>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</si>
  <si>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</si>
  <si>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</si>
  <si>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</si>
  <si>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</si>
  <si>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</si>
  <si>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</si>
  <si>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</si>
  <si>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</si>
  <si>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</si>
  <si>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</si>
  <si>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</si>
  <si>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</si>
  <si>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</si>
  <si>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</si>
  <si>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</si>
  <si>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</si>
  <si>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</si>
  <si>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</si>
  <si>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</si>
  <si>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</si>
  <si>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</si>
  <si>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</si>
  <si>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</si>
  <si>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</si>
  <si>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</si>
  <si>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</si>
  <si>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</si>
  <si>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</si>
  <si>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</si>
  <si>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</si>
  <si>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</si>
  <si>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</si>
  <si>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</si>
  <si>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</si>
  <si>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</si>
  <si>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</si>
  <si>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</si>
  <si>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</si>
  <si>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</si>
  <si>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</si>
  <si>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</si>
  <si>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</si>
  <si>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</si>
  <si>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</si>
  <si>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</si>
  <si>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</si>
  <si>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</si>
  <si>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</si>
  <si>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</si>
  <si>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</si>
  <si>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</si>
  <si>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</si>
  <si>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</si>
  <si>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</si>
  <si>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</si>
  <si>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</si>
  <si>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</si>
  <si>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</si>
  <si>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</si>
  <si>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</si>
  <si>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</si>
  <si>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</si>
  <si>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</si>
  <si>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</si>
  <si>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</si>
  <si>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</si>
  <si>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</si>
  <si>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</si>
  <si>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</si>
  <si>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</si>
  <si>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</si>
  <si>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</si>
  <si>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</si>
  <si>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</si>
  <si>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</si>
  <si>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</si>
  <si>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</si>
  <si>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</si>
  <si>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</si>
  <si>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</si>
  <si>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</si>
  <si>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</si>
  <si>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</si>
  <si>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</si>
  <si>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</si>
  <si>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</si>
  <si>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</si>
  <si>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</si>
  <si>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</si>
  <si>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</si>
  <si>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</si>
  <si>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</si>
  <si>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</si>
  <si>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</si>
  <si>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</si>
  <si>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</si>
  <si>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</si>
  <si>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</si>
  <si>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</si>
  <si>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13 tonn, men det legges til grunn at hele avsetningen tas</t>
  </si>
  <si>
    <t>4 Registrert rekreasjonsfiske utgjør 60 tonn, men det legges til grunn at hele avsetningen tas</t>
  </si>
  <si>
    <t>3 Registrert rekreasjonsfiske utgjør 133 tonn, men det legges til grunn at hele avsetningen tas</t>
  </si>
  <si>
    <t>FANGST UKE 9</t>
  </si>
  <si>
    <t>FANGST T.O.M UKE 9</t>
  </si>
  <si>
    <t>RESTKVOTER UKE 9</t>
  </si>
  <si>
    <t>FANGST T.O.M UKE 9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</si>
  <si>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Belastning av notkvoten er ikke beregnet i denne statikken for denne uken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</si>
</sst>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93" zoomScale="112" zoomScaleNormal="55" zoomScaleSheetLayoutView="100" zoomScalePageLayoutView="85" workbookViewId="0">
      <selection activeCell="F276" sqref="F27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7" t="s">
        <v>139</v>
      </c>
      <c r="C2" s="318"/>
      <c r="D2" s="318"/>
      <c r="E2" s="318"/>
      <c r="F2" s="318"/>
      <c r="G2" s="318"/>
      <c r="H2" s="318"/>
      <c r="I2" s="318"/>
      <c r="J2" s="319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20"/>
      <c r="C9" s="321"/>
      <c r="D9" s="321"/>
      <c r="E9" s="321"/>
      <c r="F9" s="321"/>
      <c r="G9" s="321"/>
      <c r="H9" s="321"/>
      <c r="I9" s="321"/>
      <c r="J9" s="322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9"/>
      <c r="D17" s="329"/>
      <c r="E17" s="329"/>
      <c r="F17" s="329"/>
      <c r="G17" s="329"/>
      <c r="H17" s="329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38.827500000000001</v>
      </c>
      <c r="G22" s="27">
        <f t="shared" si="0"/>
        <v>5265.2772699999996</v>
      </c>
      <c r="H22" s="10">
        <f>H24+H23</f>
        <v>27269.722730000001</v>
      </c>
      <c r="I22" s="10">
        <f t="shared" si="0"/>
        <v>7295.5765599999995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/>
      <c r="F23" s="22">
        <f>38.8275</f>
        <v>38.827500000000001</v>
      </c>
      <c r="G23" s="22">
        <f>5248.98727</f>
        <v>5248.9872699999996</v>
      </c>
      <c r="H23" s="22">
        <f>D23-G23</f>
        <v>26536.012730000002</v>
      </c>
      <c r="I23" s="22">
        <f>7227.35356</f>
        <v>7227.3535599999996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16.29</f>
        <v>16.29</v>
      </c>
      <c r="H24" s="22">
        <f>D24-G24</f>
        <v>733.71</v>
      </c>
      <c r="I24" s="22">
        <f>68.223</f>
        <v>68.222999999999999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6606.3034800000005</v>
      </c>
      <c r="G25" s="10">
        <f t="shared" si="1"/>
        <v>31601.435099999999</v>
      </c>
      <c r="H25" s="10">
        <f t="shared" si="1"/>
        <v>63860.564899999998</v>
      </c>
      <c r="I25" s="10">
        <f t="shared" si="1"/>
        <v>33013.661110000001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5882.7950300000002</v>
      </c>
      <c r="G26" s="129">
        <f>G27+G28+G29+G30+G31</f>
        <v>27285.766879999999</v>
      </c>
      <c r="H26" s="129">
        <f t="shared" ref="H26:I26" si="2">H27+H28+H29+H30+H31</f>
        <v>48202.233119999997</v>
      </c>
      <c r="I26" s="129">
        <f t="shared" si="2"/>
        <v>28286.001230000002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/>
      <c r="F27" s="209">
        <f>1245.82693 - F53</f>
        <v>1245.8269299999999</v>
      </c>
      <c r="G27" s="123">
        <f>6417.2539 - G53</f>
        <v>6417.2538999999997</v>
      </c>
      <c r="H27" s="123">
        <f t="shared" ref="H27:H41" si="3">D27-G27</f>
        <v>12746.7461</v>
      </c>
      <c r="I27" s="123">
        <f>5765.30177 - I53</f>
        <v>5765.30177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/>
      <c r="F28" s="123">
        <f>1499.92099 - F54</f>
        <v>1499.9209900000001</v>
      </c>
      <c r="G28" s="123">
        <f>8282.22906 - G54</f>
        <v>8282.2290599999997</v>
      </c>
      <c r="H28" s="123">
        <f t="shared" si="3"/>
        <v>10753.77094</v>
      </c>
      <c r="I28" s="123">
        <f>8437.76284 - I54</f>
        <v>8437.7628399999994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/>
      <c r="F29" s="123">
        <f>1654.47306 - F55</f>
        <v>1654.47306</v>
      </c>
      <c r="G29" s="123">
        <f>6879.29597 - G55</f>
        <v>6879.2959700000001</v>
      </c>
      <c r="H29" s="123">
        <f t="shared" si="3"/>
        <v>10527.704030000001</v>
      </c>
      <c r="I29" s="123">
        <f>7744.35791 - I55</f>
        <v>7744.3579099999997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/>
      <c r="F30" s="123">
        <f>1482.57405 - F56</f>
        <v>1482.5740499999999</v>
      </c>
      <c r="G30" s="123">
        <f>5706.98795 - G56</f>
        <v>5706.9879499999997</v>
      </c>
      <c r="H30" s="123">
        <f t="shared" si="3"/>
        <v>7089.0120500000003</v>
      </c>
      <c r="I30" s="123">
        <f>6338.57871 - I56</f>
        <v>6338.5787099999998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/>
      <c r="F32" s="129">
        <f>175.06868</f>
        <v>175.06868</v>
      </c>
      <c r="G32" s="129">
        <f>1913.70061</f>
        <v>1913.7006100000001</v>
      </c>
      <c r="H32" s="129">
        <f t="shared" si="3"/>
        <v>8803.2993900000001</v>
      </c>
      <c r="I32" s="129">
        <f>2622.15821</f>
        <v>2622.1582100000001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548.43976999999995</v>
      </c>
      <c r="G33" s="129">
        <f>G34+G35</f>
        <v>2401.9676100000001</v>
      </c>
      <c r="H33" s="129">
        <f t="shared" si="3"/>
        <v>6855.0323900000003</v>
      </c>
      <c r="I33" s="129">
        <f>I34+I35</f>
        <v>2105.5016700000001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/>
      <c r="F34" s="123">
        <f>628.43977 - F57 - F58</f>
        <v>548.43976999999995</v>
      </c>
      <c r="G34" s="129">
        <f>2690.96761 - G57 - G58</f>
        <v>2401.9676100000001</v>
      </c>
      <c r="H34" s="123">
        <f t="shared" si="3"/>
        <v>5990.0323900000003</v>
      </c>
      <c r="I34" s="123">
        <f>2105.50167 - I57 - I58</f>
        <v>2105.5016700000001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/>
      <c r="F36" s="136">
        <f>43.4732</f>
        <v>43.473199999999999</v>
      </c>
      <c r="G36" s="136">
        <f>190.5732</f>
        <v>190.57320000000001</v>
      </c>
      <c r="H36" s="136">
        <f t="shared" si="3"/>
        <v>309.42679999999996</v>
      </c>
      <c r="I36" s="136">
        <f>160.4188</f>
        <v>160.4188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/>
      <c r="F37" s="95">
        <f>32.78186</f>
        <v>32.781860000000002</v>
      </c>
      <c r="G37" s="95">
        <f>196.83172</f>
        <v>196.83171999999999</v>
      </c>
      <c r="H37" s="95">
        <f t="shared" si="3"/>
        <v>683.16827999999998</v>
      </c>
      <c r="I37" s="95">
        <f>87.67929</f>
        <v>87.679289999999995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/>
      <c r="F38" s="95">
        <f>F58</f>
        <v>80</v>
      </c>
      <c r="G38" s="95">
        <f>G58</f>
        <v>289</v>
      </c>
      <c r="H38" s="95">
        <f t="shared" si="3"/>
        <v>2711</v>
      </c>
      <c r="I38" s="95">
        <f>I58</f>
        <v>0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/>
      <c r="F39" s="95">
        <f>27.58216</f>
        <v>27.582159999999998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/>
      <c r="F40" s="95">
        <f>11.8739</f>
        <v>11.873900000000001</v>
      </c>
      <c r="G40" s="95">
        <f>31.48368</f>
        <v>31.48368</v>
      </c>
      <c r="H40" s="95">
        <f t="shared" si="3"/>
        <v>418.51632000000001</v>
      </c>
      <c r="I40" s="95">
        <f>40.78707</f>
        <v>40.78707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229.42425</f>
        <v>229.42425</v>
      </c>
      <c r="H41" s="136">
        <f t="shared" si="3"/>
        <v>-229.42425</v>
      </c>
      <c r="I41" s="136">
        <f>65.08255</f>
        <v>65.082549999999998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6840.8421000000008</v>
      </c>
      <c r="G42" s="73">
        <f t="shared" si="4"/>
        <v>37804.025219999996</v>
      </c>
      <c r="H42" s="73">
        <f t="shared" si="4"/>
        <v>102022.97478</v>
      </c>
      <c r="I42" s="73">
        <f t="shared" si="4"/>
        <v>40663.205379999999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32" t="s">
        <v>138</v>
      </c>
      <c r="D49" s="332"/>
      <c r="E49" s="332"/>
      <c r="F49" s="332"/>
      <c r="G49" s="332"/>
      <c r="H49" s="332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33">
        <v>7085</v>
      </c>
      <c r="E52" s="333"/>
      <c r="F52" s="10">
        <f>F56+F55+F54+F53</f>
        <v>0</v>
      </c>
      <c r="G52" s="10">
        <f>G56+G55+G54+G53</f>
        <v>0</v>
      </c>
      <c r="H52" s="333">
        <f>D52-G52</f>
        <v>7085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34"/>
      <c r="E53" s="334"/>
      <c r="F53" s="123"/>
      <c r="G53" s="123"/>
      <c r="H53" s="334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34"/>
      <c r="E54" s="334"/>
      <c r="F54" s="123"/>
      <c r="G54" s="123"/>
      <c r="H54" s="334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34"/>
      <c r="E55" s="334"/>
      <c r="F55" s="123"/>
      <c r="G55" s="123"/>
      <c r="H55" s="334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35"/>
      <c r="E56" s="335"/>
      <c r="F56" s="186"/>
      <c r="G56" s="186"/>
      <c r="H56" s="335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/>
      <c r="F58" s="136">
        <v>80</v>
      </c>
      <c r="G58" s="136">
        <v>289</v>
      </c>
      <c r="H58" s="136">
        <f>D58-G58</f>
        <v>2711</v>
      </c>
      <c r="I58" s="136"/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3" t="s">
        <v>1</v>
      </c>
      <c r="D68" s="324"/>
      <c r="E68" s="323" t="s">
        <v>2</v>
      </c>
      <c r="F68" s="336"/>
      <c r="G68" s="323" t="s">
        <v>3</v>
      </c>
      <c r="H68" s="324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20.3462</v>
      </c>
      <c r="G79" s="10">
        <f t="shared" si="5"/>
        <v>3683.9431</v>
      </c>
      <c r="H79" s="10">
        <f t="shared" si="5"/>
        <v>24711.0569</v>
      </c>
      <c r="I79" s="10">
        <f t="shared" si="5"/>
        <v>1689.6966399999999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/>
      <c r="F80" s="22">
        <f>20.3462</f>
        <v>20.3462</v>
      </c>
      <c r="G80" s="22">
        <f>3664.0029</f>
        <v>3664.0029</v>
      </c>
      <c r="H80" s="22">
        <f>D80-G80</f>
        <v>23980.997100000001</v>
      </c>
      <c r="I80" s="22">
        <f>1672.65304</f>
        <v>1672.6530399999999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19.9402</f>
        <v>19.940200000000001</v>
      </c>
      <c r="H81" s="48">
        <f>D81-G81</f>
        <v>730.0598</v>
      </c>
      <c r="I81" s="48">
        <f>17.0436</f>
        <v>17.043600000000001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727.18629999999996</v>
      </c>
      <c r="G82" s="10">
        <f t="shared" si="6"/>
        <v>5592.9142199999997</v>
      </c>
      <c r="H82" s="10">
        <f>H83+H88+H89</f>
        <v>41688.085780000001</v>
      </c>
      <c r="I82" s="10">
        <f t="shared" si="6"/>
        <v>6190.8576099999991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575.36527999999998</v>
      </c>
      <c r="G83" s="129">
        <f t="shared" si="7"/>
        <v>3846.1047599999997</v>
      </c>
      <c r="H83" s="129">
        <f t="shared" si="7"/>
        <v>31389.895240000002</v>
      </c>
      <c r="I83" s="129">
        <f t="shared" si="7"/>
        <v>4772.9903799999993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/>
      <c r="F84" s="123">
        <f>132.01887</f>
        <v>132.01886999999999</v>
      </c>
      <c r="G84" s="123">
        <f>1514.37476</f>
        <v>1514.3747599999999</v>
      </c>
      <c r="H84" s="123">
        <f t="shared" ref="H84:H93" si="8">D84-G84</f>
        <v>7910.6252400000003</v>
      </c>
      <c r="I84" s="123">
        <f>1524.41011</f>
        <v>1524.41011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/>
      <c r="F85" s="123">
        <f>160.45877</f>
        <v>160.45876999999999</v>
      </c>
      <c r="G85" s="123">
        <f>1205.98437</f>
        <v>1205.9843699999999</v>
      </c>
      <c r="H85" s="123">
        <f t="shared" si="8"/>
        <v>8595.0156299999999</v>
      </c>
      <c r="I85" s="123">
        <f>1362.15877</f>
        <v>1362.15877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/>
      <c r="F86" s="123">
        <f>128.47037</f>
        <v>128.47037</v>
      </c>
      <c r="G86" s="123">
        <f>695.6059</f>
        <v>695.60590000000002</v>
      </c>
      <c r="H86" s="123">
        <f t="shared" si="8"/>
        <v>8903.3940999999995</v>
      </c>
      <c r="I86" s="123">
        <f>1131.03066</f>
        <v>1131.0306599999999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/>
      <c r="F87" s="123">
        <f>154.41727</f>
        <v>154.41727</v>
      </c>
      <c r="G87" s="123">
        <f>430.13973</f>
        <v>430.13972999999999</v>
      </c>
      <c r="H87" s="123">
        <f t="shared" si="8"/>
        <v>5980.8602700000001</v>
      </c>
      <c r="I87" s="123">
        <f>755.39084</f>
        <v>755.39084000000003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/>
      <c r="F88" s="129">
        <f>73.10483</f>
        <v>73.104830000000007</v>
      </c>
      <c r="G88" s="129">
        <f>1012.21309</f>
        <v>1012.21309</v>
      </c>
      <c r="H88" s="129">
        <f t="shared" si="8"/>
        <v>7326.7869099999998</v>
      </c>
      <c r="I88" s="129">
        <f>796.29789</f>
        <v>796.29789000000005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/>
      <c r="F89" s="72">
        <f>78.71619</f>
        <v>78.716189999999997</v>
      </c>
      <c r="G89" s="72">
        <f>734.59637</f>
        <v>734.59636999999998</v>
      </c>
      <c r="H89" s="72">
        <f t="shared" si="8"/>
        <v>2971.4036299999998</v>
      </c>
      <c r="I89" s="72">
        <f>621.56934</f>
        <v>621.56934000000001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/>
      <c r="F90" s="95">
        <f>2.1434</f>
        <v>2.1434000000000002</v>
      </c>
      <c r="G90" s="95">
        <f>9.86622</f>
        <v>9.8662200000000002</v>
      </c>
      <c r="H90" s="95">
        <f t="shared" si="8"/>
        <v>309.13378</v>
      </c>
      <c r="I90" s="95">
        <f>10.41884</f>
        <v>10.418839999999999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/>
      <c r="F91" s="136">
        <f>2.53832</f>
        <v>2.5383200000000001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/>
      <c r="F92" s="95">
        <f>0.18482</f>
        <v>0.18482000000000001</v>
      </c>
      <c r="G92" s="95">
        <f>2.09712</f>
        <v>2.0971199999999999</v>
      </c>
      <c r="H92" s="136">
        <f t="shared" si="8"/>
        <v>47.902880000000003</v>
      </c>
      <c r="I92" s="95">
        <f>7.20367</f>
        <v>7.2036699999999998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</f>
        <v>0</v>
      </c>
      <c r="G93" s="136">
        <f>14.30686</f>
        <v>14.30686</v>
      </c>
      <c r="H93" s="136">
        <f t="shared" si="8"/>
        <v>-14.30686</v>
      </c>
      <c r="I93" s="136">
        <f>3.4284</f>
        <v>3.4283999999999999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752.3990399999999</v>
      </c>
      <c r="G94" s="73">
        <f t="shared" si="10"/>
        <v>9303.12752</v>
      </c>
      <c r="H94" s="73">
        <f t="shared" si="10"/>
        <v>67041.872480000005</v>
      </c>
      <c r="I94" s="73">
        <f t="shared" si="10"/>
        <v>7901.6051599999992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1103.65335</v>
      </c>
      <c r="G115" s="10">
        <f t="shared" si="11"/>
        <v>5771.1255899999996</v>
      </c>
      <c r="H115" s="10">
        <f t="shared" si="11"/>
        <v>48474.874410000004</v>
      </c>
      <c r="I115" s="10">
        <f t="shared" si="11"/>
        <v>13625.26815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/>
      <c r="F116" s="22">
        <f>1103.65335</f>
        <v>1103.65335</v>
      </c>
      <c r="G116" s="22">
        <f>5573.15389</f>
        <v>5573.1538899999996</v>
      </c>
      <c r="H116" s="22">
        <f>D116-G116</f>
        <v>37823.846109999999</v>
      </c>
      <c r="I116" s="22">
        <f>12436.93015</f>
        <v>12436.93015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/>
      <c r="F117" s="22">
        <f>0</f>
        <v>0</v>
      </c>
      <c r="G117" s="22">
        <f>140.4837</f>
        <v>140.4837</v>
      </c>
      <c r="H117" s="22">
        <f>D117-G117</f>
        <v>10208.516299999999</v>
      </c>
      <c r="I117" s="22">
        <f>1127.78055</f>
        <v>1127.7805499999999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/>
      <c r="F118" s="22">
        <f>0</f>
        <v>0</v>
      </c>
      <c r="G118" s="22">
        <f>57.488</f>
        <v>57.488</v>
      </c>
      <c r="H118" s="53">
        <f>D118-G118</f>
        <v>442.512</v>
      </c>
      <c r="I118" s="22">
        <f>60.55745</f>
        <v>60.557450000000003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/>
      <c r="F119" s="92">
        <f>0</f>
        <v>0</v>
      </c>
      <c r="G119" s="92">
        <f>93.383</f>
        <v>93.382999999999996</v>
      </c>
      <c r="H119" s="92">
        <f>D119-G119</f>
        <v>36559.616999999998</v>
      </c>
      <c r="I119" s="92">
        <f>23.155</f>
        <v>23.155000000000001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0</v>
      </c>
      <c r="F120" s="91">
        <f>F121+F126+F129</f>
        <v>1133.15984</v>
      </c>
      <c r="G120" s="91">
        <f t="shared" ref="G120" si="12">G121+G126+G129</f>
        <v>12488.3665</v>
      </c>
      <c r="H120" s="91">
        <f>H121+H126+H129</f>
        <v>44621.633499999996</v>
      </c>
      <c r="I120" s="91">
        <f>I121+I126+I129</f>
        <v>21742.054309999996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710.86574999999993</v>
      </c>
      <c r="G121" s="121">
        <f>G122+G123+G125+G124</f>
        <v>10191.39761</v>
      </c>
      <c r="H121" s="121">
        <f>H122+H123+H124+H125</f>
        <v>32990.60239</v>
      </c>
      <c r="I121" s="121">
        <f>I122+I123+I124+I125</f>
        <v>16258.948329999999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/>
      <c r="F122" s="123">
        <f>259.45896</f>
        <v>259.45895999999999</v>
      </c>
      <c r="G122" s="123">
        <f>3104.50603</f>
        <v>3104.50603</v>
      </c>
      <c r="H122" s="123">
        <f>D122-G122</f>
        <v>8371.4939699999995</v>
      </c>
      <c r="I122" s="123">
        <f>4167.31919</f>
        <v>4167.3191900000002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/>
      <c r="F123" s="123">
        <f>241.7254</f>
        <v>241.72540000000001</v>
      </c>
      <c r="G123" s="123">
        <f>3527.04714</f>
        <v>3527.0471400000001</v>
      </c>
      <c r="H123" s="123">
        <f>D123-G123</f>
        <v>8307.9528599999994</v>
      </c>
      <c r="I123" s="123">
        <f>5667.03846</f>
        <v>5667.0384599999998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/>
      <c r="F124" s="123">
        <f>124.56326</f>
        <v>124.56326</v>
      </c>
      <c r="G124" s="123">
        <f>2034.33803</f>
        <v>2034.3380299999999</v>
      </c>
      <c r="H124" s="123">
        <f>D124-G124</f>
        <v>8438.661970000001</v>
      </c>
      <c r="I124" s="123">
        <f>3459.70878</f>
        <v>3459.7087799999999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/>
      <c r="F125" s="123">
        <f>85.11813</f>
        <v>85.118129999999994</v>
      </c>
      <c r="G125" s="123">
        <f>1525.50641</f>
        <v>1525.50641</v>
      </c>
      <c r="H125" s="123">
        <f>D125-G125</f>
        <v>7872.49359</v>
      </c>
      <c r="I125" s="123">
        <f>2964.8819</f>
        <v>2964.8818999999999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0</v>
      </c>
      <c r="F126" s="129">
        <f>SUM(F127:F128)</f>
        <v>219.34379000000001</v>
      </c>
      <c r="G126" s="129">
        <f>SUM(G127:G128)</f>
        <v>564.10982999999999</v>
      </c>
      <c r="H126" s="129">
        <f>H127+H128</f>
        <v>5563.8901700000006</v>
      </c>
      <c r="I126" s="129">
        <f>SUM(I127:I128)</f>
        <v>3695.6365899999996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/>
      <c r="F127" s="123">
        <f>215.42069</f>
        <v>215.42069000000001</v>
      </c>
      <c r="G127" s="123">
        <f>451.35758</f>
        <v>451.35757999999998</v>
      </c>
      <c r="H127" s="123">
        <f t="shared" ref="H127:H135" si="13">D127-G127</f>
        <v>5176.6424200000001</v>
      </c>
      <c r="I127" s="123">
        <f>3610.8232</f>
        <v>3610.8231999999998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/>
      <c r="F128" s="123">
        <f>3.9231</f>
        <v>3.9230999999999998</v>
      </c>
      <c r="G128" s="123">
        <f>112.75225</f>
        <v>112.75225</v>
      </c>
      <c r="H128" s="123">
        <f t="shared" si="13"/>
        <v>387.24775</v>
      </c>
      <c r="I128" s="123">
        <f>84.81339</f>
        <v>84.813389999999998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/>
      <c r="F129" s="72">
        <f>202.9503</f>
        <v>202.9503</v>
      </c>
      <c r="G129" s="72">
        <f>1732.85906</f>
        <v>1732.85906</v>
      </c>
      <c r="H129" s="72">
        <f t="shared" si="13"/>
        <v>6067.1409400000002</v>
      </c>
      <c r="I129" s="72">
        <f>1787.46939</f>
        <v>1787.46939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/>
      <c r="F130" s="136">
        <f>2.48385</f>
        <v>2.4838499999999999</v>
      </c>
      <c r="G130" s="136">
        <f>10.99695</f>
        <v>10.99695</v>
      </c>
      <c r="H130" s="136">
        <f t="shared" si="13"/>
        <v>145.00305</v>
      </c>
      <c r="I130" s="136">
        <f>9.5135</f>
        <v>9.5135000000000005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/>
      <c r="F132" s="136">
        <f>10.38951</f>
        <v>10.38951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/>
      <c r="F134" s="95">
        <f>0.251</f>
        <v>0.251</v>
      </c>
      <c r="G134" s="95">
        <f>3.12115</f>
        <v>3.1211500000000001</v>
      </c>
      <c r="H134" s="136">
        <f t="shared" si="13"/>
        <v>251.87885</v>
      </c>
      <c r="I134" s="95">
        <f>56.5954</f>
        <v>56.595399999999998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0.015</f>
        <v>1.4999999999999999E-2</v>
      </c>
      <c r="G135" s="136">
        <f>95.33095</f>
        <v>95.330950000000001</v>
      </c>
      <c r="H135" s="136">
        <f t="shared" si="13"/>
        <v>-95.330950000000001</v>
      </c>
      <c r="I135" s="136">
        <f>54.4686</f>
        <v>54.468600000000002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0</v>
      </c>
      <c r="F137" s="73">
        <f>F115+F119+F120+F130+F131+F132+F133+F134+F135</f>
        <v>2249.95255</v>
      </c>
      <c r="G137" s="73">
        <f>G115+G119+G120+G130+G131+G132+G133+G134+G135</f>
        <v>18462.324140000001</v>
      </c>
      <c r="H137" s="73">
        <f>H115+H119+H120+H130+H131+H132+H133+H134+H135</f>
        <v>132307.67586000002</v>
      </c>
      <c r="I137" s="73">
        <f>I115+I119+I120+I130+I131+I132+I133+I134+I135</f>
        <v>35511.054959999994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0</f>
        <v>0</v>
      </c>
      <c r="F160" s="301">
        <f>257.11648</f>
        <v>257.11648000000002</v>
      </c>
      <c r="G160" s="42">
        <f>D160-F160-F161</f>
        <v>3382.2360899999999</v>
      </c>
      <c r="H160" s="301">
        <f>171.15134</f>
        <v>171.15134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0</f>
        <v>0</v>
      </c>
      <c r="F161" s="148">
        <f>114.64743</f>
        <v>114.64743</v>
      </c>
      <c r="G161" s="219"/>
      <c r="H161" s="148">
        <f>192.91579</f>
        <v>192.91578999999999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0.4802</f>
        <v>0.48020000000000002</v>
      </c>
      <c r="G162" s="166">
        <f>D162-F162</f>
        <v>199.5198</v>
      </c>
      <c r="H162" s="166">
        <f>12.9809</f>
        <v>12.9809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3.9421999999999997</v>
      </c>
      <c r="F163" s="175">
        <f>F164+F165+F166</f>
        <v>63.236620000000002</v>
      </c>
      <c r="G163" s="175">
        <f>D163-F163</f>
        <v>5566.7633800000003</v>
      </c>
      <c r="H163" s="175">
        <f>H164+H165+H166</f>
        <v>46.011119999999991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0.1238</f>
        <v>0.12379999999999999</v>
      </c>
      <c r="F164" s="123">
        <f>20.96208</f>
        <v>20.96208</v>
      </c>
      <c r="G164" s="123"/>
      <c r="H164" s="123">
        <f>15.00956</f>
        <v>15.00956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1.5714</f>
        <v>1.5713999999999999</v>
      </c>
      <c r="F165" s="123">
        <f>33.1312</f>
        <v>33.1312</v>
      </c>
      <c r="G165" s="123"/>
      <c r="H165" s="123">
        <f>18.40066</f>
        <v>18.400659999999998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2.247</f>
        <v>2.2469999999999999</v>
      </c>
      <c r="F166" s="186">
        <f>9.14334</f>
        <v>9.1433400000000002</v>
      </c>
      <c r="G166" s="186"/>
      <c r="H166" s="186">
        <f>12.6009</f>
        <v>12.600899999999999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3.9421999999999997</v>
      </c>
      <c r="F169" s="188">
        <f>F160+F161+F162+F163+F167+F168</f>
        <v>435.95669000000004</v>
      </c>
      <c r="G169" s="188">
        <f>D169-F169</f>
        <v>9239.0433099999991</v>
      </c>
      <c r="H169" s="188">
        <f>H160+H161+H162+H163+H167+H168</f>
        <v>423.05915000000005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/>
      <c r="F189" s="124">
        <f>0</f>
        <v>0</v>
      </c>
      <c r="G189" s="124">
        <f>12679.72025</f>
        <v>12679.72025</v>
      </c>
      <c r="H189" s="124">
        <f>D189-G189</f>
        <v>32881.279750000002</v>
      </c>
      <c r="I189" s="124">
        <f>13601.35194</f>
        <v>13601.35194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/>
      <c r="F190" s="124">
        <f>0.2491</f>
        <v>0.24909999999999999</v>
      </c>
      <c r="G190" s="124">
        <f>2.75686</f>
        <v>2.7568600000000001</v>
      </c>
      <c r="H190" s="124">
        <f>D190-G190</f>
        <v>97.243139999999997</v>
      </c>
      <c r="I190" s="124">
        <f>3.07694</f>
        <v>3.07694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0.24909999999999999</v>
      </c>
      <c r="G192" s="190">
        <f>SUM(G189:G191)</f>
        <v>12682.47711</v>
      </c>
      <c r="H192" s="190">
        <f>D192-G192</f>
        <v>33024.52289</v>
      </c>
      <c r="I192" s="190">
        <f>SUM(I189:I191)</f>
        <v>13604.428880000001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42.93882</v>
      </c>
      <c r="F202" s="72">
        <f>F203+F204</f>
        <v>1224.6395199999999</v>
      </c>
      <c r="G202" s="72">
        <f>D202-F202</f>
        <v>1977.3604800000001</v>
      </c>
      <c r="H202" s="72">
        <f>H203+H204</f>
        <v>715.49613999999997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22.94532</f>
        <v>22.945319999999999</v>
      </c>
      <c r="F203" s="72">
        <f>1037.30358</f>
        <v>1037.30358</v>
      </c>
      <c r="G203" s="72"/>
      <c r="H203" s="72">
        <f>515.47415</f>
        <v>515.47415000000001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19.9935</f>
        <v>19.993500000000001</v>
      </c>
      <c r="F204" s="124">
        <f>187.33594</f>
        <v>187.33593999999999</v>
      </c>
      <c r="G204" s="168"/>
      <c r="H204" s="124">
        <f>200.02199</f>
        <v>200.02198999999999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107.84405</f>
        <v>107.84405</v>
      </c>
      <c r="F205" s="72">
        <f>909.44221</f>
        <v>909.44221000000005</v>
      </c>
      <c r="G205" s="72">
        <f>D205-F205</f>
        <v>2794.5577899999998</v>
      </c>
      <c r="H205" s="72">
        <f>683.32525</f>
        <v>683.32524999999998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150.78287</v>
      </c>
      <c r="F206" s="190">
        <f>SUM(F202,F205)</f>
        <v>2134.0817299999999</v>
      </c>
      <c r="G206" s="190">
        <f>D206-F206</f>
        <v>4771.9182700000001</v>
      </c>
      <c r="H206" s="190">
        <f>SUM(H202,H205)</f>
        <v>1398.8213900000001</v>
      </c>
      <c r="I206" s="275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4.4064999999999994</v>
      </c>
      <c r="F215" s="72">
        <f>F216+F217</f>
        <v>1498.1818700000001</v>
      </c>
      <c r="G215" s="72">
        <f>D215-F215</f>
        <v>4017.8181299999997</v>
      </c>
      <c r="H215" s="72">
        <f>H216+H217</f>
        <v>677.90258000000006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1.7717</f>
        <v>1.7717000000000001</v>
      </c>
      <c r="F216" s="72">
        <f>1410.58959</f>
        <v>1410.58959</v>
      </c>
      <c r="G216" s="72"/>
      <c r="H216" s="72">
        <f>595.57564</f>
        <v>595.57564000000002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2.6348</f>
        <v>2.6347999999999998</v>
      </c>
      <c r="F217" s="124">
        <f>87.59228</f>
        <v>87.592280000000002</v>
      </c>
      <c r="G217" s="168"/>
      <c r="H217" s="124">
        <f>82.32694</f>
        <v>82.326939999999993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69.39396</f>
        <v>69.393960000000007</v>
      </c>
      <c r="F218" s="72">
        <f>970.88851</f>
        <v>970.88851</v>
      </c>
      <c r="G218" s="72">
        <f>D218-F218</f>
        <v>2261.1114900000002</v>
      </c>
      <c r="H218" s="72">
        <f>655.37611</f>
        <v>655.37611000000004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73.800460000000001</v>
      </c>
      <c r="F219" s="190">
        <f>SUM(F215,F218)</f>
        <v>2469.0703800000001</v>
      </c>
      <c r="G219" s="190">
        <f>D219-F219</f>
        <v>6278.9296199999999</v>
      </c>
      <c r="H219" s="190">
        <f>SUM(H215,H218)</f>
        <v>1333.2786900000001</v>
      </c>
      <c r="I219" s="275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2.02783</f>
        <v>2.0278299999999998</v>
      </c>
      <c r="F237" s="124">
        <f>18.24029</f>
        <v>18.240290000000002</v>
      </c>
      <c r="G237" s="124">
        <f>D237-F237</f>
        <v>781.75971000000004</v>
      </c>
      <c r="H237" s="124">
        <f>68.08444</f>
        <v>68.084440000000001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4.95445</f>
        <v>4.9544499999999996</v>
      </c>
      <c r="F238" s="124">
        <f>96.19909</f>
        <v>96.199089999999998</v>
      </c>
      <c r="G238" s="124">
        <f>D238-F238</f>
        <v>609.80091000000004</v>
      </c>
      <c r="H238" s="124">
        <f>156.50619</f>
        <v>156.50619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0.018</f>
        <v>1.7999999999999999E-2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6.9822799999999994</v>
      </c>
      <c r="F241" s="190">
        <f>SUM(F237:F240)</f>
        <v>114.48438</v>
      </c>
      <c r="G241" s="190">
        <f>D241-F241</f>
        <v>1401.5156199999999</v>
      </c>
      <c r="H241" s="190">
        <f>H237+H238+H239+H240</f>
        <v>224.66276999999999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17.800080000000001</v>
      </c>
      <c r="G262" s="280">
        <f t="shared" si="15"/>
        <v>351.72932000000003</v>
      </c>
      <c r="H262" s="280">
        <f>H266+H265+H264+H263</f>
        <v>14863.270680000001</v>
      </c>
      <c r="I262" s="280">
        <f t="shared" si="15"/>
        <v>632.58764999999994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/>
      <c r="F263" s="284">
        <f>0</f>
        <v>0</v>
      </c>
      <c r="G263" s="284">
        <f>97.32447</f>
        <v>97.324470000000005</v>
      </c>
      <c r="H263" s="284">
        <f t="shared" ref="H263:H268" si="16">D263-G263</f>
        <v>7359.6755300000004</v>
      </c>
      <c r="I263" s="284">
        <f>282.94873</f>
        <v>282.94873000000001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0</f>
        <v>0</v>
      </c>
      <c r="H264" s="284">
        <f t="shared" si="16"/>
        <v>1941</v>
      </c>
      <c r="I264" s="284">
        <f>0</f>
        <v>0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/>
      <c r="F265" s="284">
        <f>5.36688</f>
        <v>5.3668800000000001</v>
      </c>
      <c r="G265" s="284">
        <f>201.83165</f>
        <v>201.83165</v>
      </c>
      <c r="H265" s="284">
        <f t="shared" si="16"/>
        <v>1136.1683499999999</v>
      </c>
      <c r="I265" s="284">
        <f>235.03112</f>
        <v>235.03111999999999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/>
      <c r="F266" s="284">
        <f>12.4332</f>
        <v>12.433199999999999</v>
      </c>
      <c r="G266" s="284">
        <f>52.5732</f>
        <v>52.5732</v>
      </c>
      <c r="H266" s="284">
        <f t="shared" si="16"/>
        <v>4426.4268000000002</v>
      </c>
      <c r="I266" s="284">
        <f>114.6078</f>
        <v>114.6078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/>
      <c r="F267" s="294">
        <f>0</f>
        <v>0</v>
      </c>
      <c r="G267" s="294">
        <f>7.341</f>
        <v>7.3410000000000002</v>
      </c>
      <c r="H267" s="294">
        <f t="shared" si="16"/>
        <v>5492.6589999999997</v>
      </c>
      <c r="I267" s="294">
        <f>19.88</f>
        <v>19.88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/>
      <c r="F268" s="295">
        <f>F270+F269</f>
        <v>8.6546699999999994</v>
      </c>
      <c r="G268" s="295">
        <f>G270+G269</f>
        <v>660.72397999999998</v>
      </c>
      <c r="H268" s="295">
        <f t="shared" si="16"/>
        <v>7339.2760200000002</v>
      </c>
      <c r="I268" s="295">
        <f>I270+I269</f>
        <v>882.07924000000003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304.11017</f>
        <v>304.11016999999998</v>
      </c>
      <c r="H269" s="284"/>
      <c r="I269" s="284">
        <f>403.55031</f>
        <v>403.55031000000002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8.65467</f>
        <v>8.6546699999999994</v>
      </c>
      <c r="G270" s="303">
        <f>356.61381</f>
        <v>356.61381</v>
      </c>
      <c r="H270" s="303"/>
      <c r="I270" s="303">
        <f>478.52893</f>
        <v>478.52893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0.01215</f>
        <v>1.2149999999999999E-2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0.0282</f>
        <v>2.8199999999999999E-2</v>
      </c>
      <c r="G272" s="294">
        <f>0.48737</f>
        <v>0.48737000000000003</v>
      </c>
      <c r="H272" s="294">
        <f>D272-G272</f>
        <v>-0.48737000000000003</v>
      </c>
      <c r="I272" s="294">
        <f>3.37509</f>
        <v>3.3750900000000001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26.482949999999999</v>
      </c>
      <c r="G273" s="312">
        <f t="shared" si="17"/>
        <v>1020.2816700000001</v>
      </c>
      <c r="H273" s="312">
        <f>H262+H267+H268+H271+H272</f>
        <v>27707.718330000003</v>
      </c>
      <c r="I273" s="312">
        <f t="shared" si="17"/>
        <v>1537.9341300000001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8" t="s">
        <v>116</v>
      </c>
      <c r="D288" s="328"/>
      <c r="E288" s="328"/>
      <c r="F288" s="328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32.994</v>
      </c>
      <c r="F297" s="25">
        <f>SUM(F298:F299)</f>
        <v>643.70330000000001</v>
      </c>
      <c r="G297" s="82">
        <f>D297-F297</f>
        <v>135.29669999999999</v>
      </c>
      <c r="H297" s="25">
        <f>SUM(H298:H299)</f>
        <v>986.35825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26.963</f>
        <v>26.963000000000001</v>
      </c>
      <c r="F298" s="29">
        <f>508.6835</f>
        <v>508.68349999999998</v>
      </c>
      <c r="G298" s="94"/>
      <c r="H298" s="29">
        <f>763.96923</f>
        <v>763.96923000000004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6.031</f>
        <v>6.0309999999999997</v>
      </c>
      <c r="F299" s="29">
        <f>135.0198</f>
        <v>135.0198</v>
      </c>
      <c r="G299" s="105"/>
      <c r="H299" s="29">
        <f>222.38902</f>
        <v>222.38901999999999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4.9530000000000003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3.593</f>
        <v>3.593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0</f>
        <v>0</v>
      </c>
      <c r="F302" s="29">
        <f>0</f>
        <v>0</v>
      </c>
      <c r="G302" s="105"/>
      <c r="H302" s="29">
        <f>1.36</f>
        <v>1.36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32.994</v>
      </c>
      <c r="F304" s="39">
        <f>F294+F297+F300+F303</f>
        <v>1568.83023</v>
      </c>
      <c r="G304" s="40">
        <f>D304-F304</f>
        <v>769.16976999999997</v>
      </c>
      <c r="H304" s="39">
        <f>H294+H297+H300+H303</f>
        <v>2014.51713</v>
      </c>
      <c r="I304" s="26"/>
      <c r="J304" s="127"/>
    </row>
    <row r="305" spans="1:10" ht="42" customHeight="1" x14ac:dyDescent="0.35">
      <c r="A305" s="223"/>
      <c r="B305" s="230"/>
      <c r="C305" s="330" t="s">
        <v>111</v>
      </c>
      <c r="D305" s="330"/>
      <c r="E305" s="330"/>
      <c r="F305" s="330"/>
      <c r="G305" s="330"/>
      <c r="H305" s="330"/>
      <c r="I305" s="330"/>
      <c r="J305" s="331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8" t="s">
        <v>155</v>
      </c>
      <c r="D316" s="328"/>
      <c r="E316" s="328"/>
      <c r="F316" s="328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5" customHeight="1" x14ac:dyDescent="0.35">
      <c r="A322" s="223"/>
      <c r="B322" s="69"/>
      <c r="C322" s="236" t="s">
        <v>133</v>
      </c>
      <c r="D322" s="237">
        <v>238</v>
      </c>
      <c r="E322" s="29">
        <f>0.68993</f>
        <v>0.68993000000000004</v>
      </c>
      <c r="F322" s="29">
        <f>52.47744</f>
        <v>52.477440000000001</v>
      </c>
      <c r="G322" s="238">
        <f>D322-F322</f>
        <v>185.52256</v>
      </c>
      <c r="H322" s="29">
        <f>57.63832</f>
        <v>57.63832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7.22936</f>
        <v>7.2293599999999998</v>
      </c>
      <c r="F323" s="29">
        <f>93.32479</f>
        <v>93.324789999999993</v>
      </c>
      <c r="G323" s="241">
        <f>D323-F323</f>
        <v>21143.675210000001</v>
      </c>
      <c r="H323" s="29">
        <f>108.54641</f>
        <v>108.54640999999999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7.9192900000000002</v>
      </c>
      <c r="F324" s="39">
        <f>F323+F322</f>
        <v>145.80223000000001</v>
      </c>
      <c r="G324" s="39">
        <f>G323+G322</f>
        <v>21329.197770000002</v>
      </c>
      <c r="H324" s="39">
        <f>H323+H322</f>
        <v>166.18473</v>
      </c>
      <c r="I324" s="26"/>
      <c r="J324" s="127"/>
    </row>
    <row r="325" spans="1:10" ht="22.5" customHeight="1" x14ac:dyDescent="0.35">
      <c r="A325" s="223"/>
      <c r="B325" s="69"/>
      <c r="C325" s="326" t="s">
        <v>156</v>
      </c>
      <c r="D325" s="326"/>
      <c r="E325" s="326"/>
      <c r="F325" s="326"/>
      <c r="G325" s="326"/>
      <c r="H325" s="326"/>
      <c r="I325" s="326"/>
      <c r="J325" s="327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5" t="s">
        <v>128</v>
      </c>
      <c r="D337" s="325"/>
      <c r="E337" s="325"/>
      <c r="F337" s="325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6" t="s">
        <v>135</v>
      </c>
      <c r="D346" s="326"/>
      <c r="E346" s="326"/>
      <c r="F346" s="326"/>
      <c r="G346" s="326"/>
      <c r="H346" s="326"/>
      <c r="I346" s="326"/>
      <c r="J346" s="327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9&amp;R02.03.2026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2026-03-04T08:58:59Z</dcterms:modified>
</cp:coreProperties>
</file>