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AFAB997A-0C52-4401-9440-0F4BCF0C2B29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1" i="1" l="1"/>
  <c r="D391" i="1"/>
  <c r="E380" i="1"/>
  <c r="D380" i="1"/>
  <c r="H372" i="1"/>
  <c r="F372" i="1"/>
  <c r="D369" i="1"/>
  <c r="D368" i="1"/>
  <c r="D343" i="1"/>
  <c r="E139" i="1"/>
  <c r="D139" i="1"/>
  <c r="E134" i="1"/>
  <c r="D134" i="1"/>
  <c r="E133" i="1"/>
  <c r="D133" i="1"/>
  <c r="E128" i="1"/>
  <c r="D128" i="1"/>
  <c r="H85" i="1"/>
  <c r="F85" i="1"/>
  <c r="D85" i="1"/>
  <c r="H16" i="1"/>
  <c r="F16" i="1"/>
  <c r="D16" i="1"/>
  <c r="E96" i="1"/>
  <c r="E95" i="1" s="1"/>
  <c r="D96" i="1"/>
  <c r="D95" i="1" s="1"/>
  <c r="E92" i="1"/>
  <c r="D92" i="1"/>
  <c r="G39" i="1"/>
  <c r="G36" i="1"/>
  <c r="G35" i="1"/>
  <c r="G32" i="1"/>
  <c r="G31" i="1"/>
  <c r="G28" i="1"/>
  <c r="I40" i="1"/>
  <c r="I39" i="1"/>
  <c r="I36" i="1"/>
  <c r="I35" i="1"/>
  <c r="I34" i="1" s="1"/>
  <c r="I32" i="1"/>
  <c r="I29" i="1"/>
  <c r="I28" i="1"/>
  <c r="I31" i="1"/>
  <c r="I30" i="1"/>
  <c r="E34" i="1"/>
  <c r="D34" i="1"/>
  <c r="E27" i="1"/>
  <c r="E26" i="1" s="1"/>
  <c r="D27" i="1"/>
  <c r="D26" i="1" s="1"/>
  <c r="E23" i="1"/>
  <c r="D23" i="1"/>
  <c r="D423" i="1" l="1"/>
  <c r="H422" i="1"/>
  <c r="F422" i="1"/>
  <c r="G422" i="1" s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F413" i="1" s="1"/>
  <c r="E414" i="1"/>
  <c r="E413" i="1" s="1"/>
  <c r="E423" i="1" s="1"/>
  <c r="H413" i="1"/>
  <c r="H423" i="1" s="1"/>
  <c r="I390" i="1"/>
  <c r="H390" i="1"/>
  <c r="G390" i="1"/>
  <c r="F390" i="1"/>
  <c r="I389" i="1"/>
  <c r="G389" i="1"/>
  <c r="H389" i="1" s="1"/>
  <c r="F389" i="1"/>
  <c r="I388" i="1"/>
  <c r="G388" i="1"/>
  <c r="G386" i="1" s="1"/>
  <c r="H386" i="1" s="1"/>
  <c r="F388" i="1"/>
  <c r="I387" i="1"/>
  <c r="G387" i="1"/>
  <c r="F387" i="1"/>
  <c r="I386" i="1"/>
  <c r="F386" i="1"/>
  <c r="I385" i="1"/>
  <c r="H385" i="1"/>
  <c r="G385" i="1"/>
  <c r="F385" i="1"/>
  <c r="I384" i="1"/>
  <c r="H384" i="1"/>
  <c r="G384" i="1"/>
  <c r="F384" i="1"/>
  <c r="I383" i="1"/>
  <c r="I380" i="1" s="1"/>
  <c r="I391" i="1" s="1"/>
  <c r="H383" i="1"/>
  <c r="G383" i="1"/>
  <c r="F383" i="1"/>
  <c r="I382" i="1"/>
  <c r="H382" i="1"/>
  <c r="G382" i="1"/>
  <c r="F382" i="1"/>
  <c r="I381" i="1"/>
  <c r="H381" i="1"/>
  <c r="G381" i="1"/>
  <c r="F381" i="1"/>
  <c r="G380" i="1"/>
  <c r="F380" i="1"/>
  <c r="F391" i="1" s="1"/>
  <c r="F354" i="1"/>
  <c r="D354" i="1"/>
  <c r="G354" i="1" s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H354" i="1" s="1"/>
  <c r="G350" i="1"/>
  <c r="F350" i="1"/>
  <c r="E350" i="1"/>
  <c r="E354" i="1" s="1"/>
  <c r="D299" i="1"/>
  <c r="H298" i="1"/>
  <c r="G298" i="1"/>
  <c r="F298" i="1"/>
  <c r="E298" i="1"/>
  <c r="H297" i="1"/>
  <c r="F297" i="1"/>
  <c r="E297" i="1"/>
  <c r="E295" i="1" s="1"/>
  <c r="E299" i="1" s="1"/>
  <c r="H296" i="1"/>
  <c r="H295" i="1" s="1"/>
  <c r="H299" i="1" s="1"/>
  <c r="F296" i="1"/>
  <c r="F295" i="1" s="1"/>
  <c r="E296" i="1"/>
  <c r="H253" i="1"/>
  <c r="D253" i="1"/>
  <c r="H252" i="1"/>
  <c r="F252" i="1"/>
  <c r="G252" i="1" s="1"/>
  <c r="E252" i="1"/>
  <c r="H251" i="1"/>
  <c r="F251" i="1"/>
  <c r="E251" i="1"/>
  <c r="E249" i="1" s="1"/>
  <c r="E253" i="1" s="1"/>
  <c r="H250" i="1"/>
  <c r="F250" i="1"/>
  <c r="F249" i="1" s="1"/>
  <c r="E250" i="1"/>
  <c r="H249" i="1"/>
  <c r="H207" i="1"/>
  <c r="D207" i="1"/>
  <c r="H206" i="1"/>
  <c r="F206" i="1"/>
  <c r="G206" i="1" s="1"/>
  <c r="E206" i="1"/>
  <c r="H205" i="1"/>
  <c r="G205" i="1"/>
  <c r="F205" i="1"/>
  <c r="E205" i="1"/>
  <c r="H204" i="1"/>
  <c r="F204" i="1"/>
  <c r="G204" i="1" s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E178" i="1" s="1"/>
  <c r="H180" i="1"/>
  <c r="F180" i="1"/>
  <c r="E180" i="1"/>
  <c r="H179" i="1"/>
  <c r="F179" i="1"/>
  <c r="F178" i="1" s="1"/>
  <c r="G178" i="1" s="1"/>
  <c r="E179" i="1"/>
  <c r="H178" i="1"/>
  <c r="H177" i="1"/>
  <c r="F177" i="1"/>
  <c r="G177" i="1" s="1"/>
  <c r="E177" i="1"/>
  <c r="H176" i="1"/>
  <c r="F176" i="1"/>
  <c r="E176" i="1"/>
  <c r="H175" i="1"/>
  <c r="H184" i="1" s="1"/>
  <c r="F175" i="1"/>
  <c r="F184" i="1" s="1"/>
  <c r="E175" i="1"/>
  <c r="E184" i="1" s="1"/>
  <c r="I148" i="1"/>
  <c r="G148" i="1"/>
  <c r="H148" i="1" s="1"/>
  <c r="F148" i="1"/>
  <c r="I147" i="1"/>
  <c r="G147" i="1"/>
  <c r="H147" i="1" s="1"/>
  <c r="F147" i="1"/>
  <c r="H146" i="1"/>
  <c r="I145" i="1"/>
  <c r="G145" i="1"/>
  <c r="H145" i="1" s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G140" i="1"/>
  <c r="H140" i="1" s="1"/>
  <c r="F140" i="1"/>
  <c r="I139" i="1"/>
  <c r="F139" i="1"/>
  <c r="I138" i="1"/>
  <c r="G138" i="1"/>
  <c r="H138" i="1" s="1"/>
  <c r="F138" i="1"/>
  <c r="I137" i="1"/>
  <c r="H137" i="1"/>
  <c r="G137" i="1"/>
  <c r="F137" i="1"/>
  <c r="I136" i="1"/>
  <c r="G136" i="1"/>
  <c r="H136" i="1" s="1"/>
  <c r="F136" i="1"/>
  <c r="I135" i="1"/>
  <c r="H135" i="1"/>
  <c r="G135" i="1"/>
  <c r="F135" i="1"/>
  <c r="I134" i="1"/>
  <c r="I133" i="1" s="1"/>
  <c r="G134" i="1"/>
  <c r="F134" i="1"/>
  <c r="F133" i="1" s="1"/>
  <c r="D150" i="1"/>
  <c r="I132" i="1"/>
  <c r="H132" i="1"/>
  <c r="G132" i="1"/>
  <c r="F132" i="1"/>
  <c r="I131" i="1"/>
  <c r="G131" i="1"/>
  <c r="H131" i="1" s="1"/>
  <c r="F131" i="1"/>
  <c r="I130" i="1"/>
  <c r="H130" i="1"/>
  <c r="G130" i="1"/>
  <c r="F130" i="1"/>
  <c r="I129" i="1"/>
  <c r="I128" i="1" s="1"/>
  <c r="G129" i="1"/>
  <c r="G128" i="1" s="1"/>
  <c r="F129" i="1"/>
  <c r="F128" i="1" s="1"/>
  <c r="F150" i="1" s="1"/>
  <c r="E150" i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I96" i="1" s="1"/>
  <c r="I95" i="1" s="1"/>
  <c r="G97" i="1"/>
  <c r="H97" i="1" s="1"/>
  <c r="F97" i="1"/>
  <c r="F96" i="1" s="1"/>
  <c r="F95" i="1" s="1"/>
  <c r="G96" i="1"/>
  <c r="G95" i="1" s="1"/>
  <c r="E107" i="1"/>
  <c r="I94" i="1"/>
  <c r="G94" i="1"/>
  <c r="H94" i="1" s="1"/>
  <c r="F94" i="1"/>
  <c r="I93" i="1"/>
  <c r="G93" i="1"/>
  <c r="G92" i="1" s="1"/>
  <c r="F93" i="1"/>
  <c r="I92" i="1"/>
  <c r="F92" i="1"/>
  <c r="F107" i="1" s="1"/>
  <c r="D107" i="1"/>
  <c r="C89" i="1"/>
  <c r="H61" i="1"/>
  <c r="H60" i="1"/>
  <c r="I55" i="1"/>
  <c r="I27" i="1" s="1"/>
  <c r="G55" i="1"/>
  <c r="H55" i="1" s="1"/>
  <c r="F55" i="1"/>
  <c r="I43" i="1"/>
  <c r="G43" i="1"/>
  <c r="H43" i="1" s="1"/>
  <c r="F43" i="1"/>
  <c r="I41" i="1"/>
  <c r="G41" i="1"/>
  <c r="H41" i="1" s="1"/>
  <c r="F41" i="1"/>
  <c r="G40" i="1"/>
  <c r="H40" i="1" s="1"/>
  <c r="F40" i="1"/>
  <c r="H39" i="1"/>
  <c r="F39" i="1"/>
  <c r="I38" i="1"/>
  <c r="H38" i="1"/>
  <c r="G38" i="1"/>
  <c r="F38" i="1"/>
  <c r="I37" i="1"/>
  <c r="G37" i="1"/>
  <c r="H37" i="1" s="1"/>
  <c r="F37" i="1"/>
  <c r="H36" i="1"/>
  <c r="F36" i="1"/>
  <c r="H35" i="1"/>
  <c r="F35" i="1"/>
  <c r="F34" i="1" s="1"/>
  <c r="F26" i="1" s="1"/>
  <c r="I33" i="1"/>
  <c r="H33" i="1"/>
  <c r="G33" i="1"/>
  <c r="F33" i="1"/>
  <c r="F32" i="1"/>
  <c r="H31" i="1"/>
  <c r="F31" i="1"/>
  <c r="G30" i="1"/>
  <c r="H30" i="1" s="1"/>
  <c r="F30" i="1"/>
  <c r="H29" i="1"/>
  <c r="G29" i="1"/>
  <c r="F29" i="1"/>
  <c r="F28" i="1"/>
  <c r="F27" i="1"/>
  <c r="I25" i="1"/>
  <c r="G25" i="1"/>
  <c r="H25" i="1" s="1"/>
  <c r="F25" i="1"/>
  <c r="I24" i="1"/>
  <c r="I23" i="1" s="1"/>
  <c r="H24" i="1"/>
  <c r="G24" i="1"/>
  <c r="F24" i="1"/>
  <c r="F23" i="1" s="1"/>
  <c r="G23" i="1"/>
  <c r="E44" i="1"/>
  <c r="D44" i="1"/>
  <c r="H380" i="1" l="1"/>
  <c r="H391" i="1" s="1"/>
  <c r="H139" i="1"/>
  <c r="I150" i="1"/>
  <c r="I107" i="1"/>
  <c r="H23" i="1"/>
  <c r="F44" i="1"/>
  <c r="I26" i="1"/>
  <c r="I44" i="1" s="1"/>
  <c r="G107" i="1"/>
  <c r="F253" i="1"/>
  <c r="G253" i="1" s="1"/>
  <c r="G249" i="1"/>
  <c r="G184" i="1"/>
  <c r="G150" i="1"/>
  <c r="H96" i="1"/>
  <c r="H95" i="1" s="1"/>
  <c r="H134" i="1"/>
  <c r="H133" i="1" s="1"/>
  <c r="F299" i="1"/>
  <c r="G299" i="1" s="1"/>
  <c r="G295" i="1"/>
  <c r="F423" i="1"/>
  <c r="G423" i="1" s="1"/>
  <c r="G413" i="1"/>
  <c r="G391" i="1"/>
  <c r="H32" i="1"/>
  <c r="H28" i="1"/>
  <c r="H27" i="1" s="1"/>
  <c r="G34" i="1"/>
  <c r="F207" i="1"/>
  <c r="G207" i="1" s="1"/>
  <c r="G139" i="1"/>
  <c r="G133" i="1" s="1"/>
  <c r="H93" i="1"/>
  <c r="H92" i="1" s="1"/>
  <c r="H107" i="1" s="1"/>
  <c r="H129" i="1"/>
  <c r="H128" i="1" s="1"/>
  <c r="G175" i="1"/>
  <c r="H150" i="1" l="1"/>
  <c r="G27" i="1"/>
  <c r="H34" i="1"/>
  <c r="H26" i="1" s="1"/>
  <c r="H44" i="1" s="1"/>
  <c r="G26" i="1"/>
  <c r="G44" i="1" s="1"/>
</calcChain>
</file>

<file path=xl/sharedStrings.xml><?xml version="1.0" encoding="utf-8"?>
<sst xmlns="http://schemas.openxmlformats.org/spreadsheetml/2006/main" count="357" uniqueCount="149">
  <si>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</si>
  <si>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</si>
  <si>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</si>
  <si>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</si>
  <si>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</si>
  <si>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</si>
  <si>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</si>
  <si>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</si>
  <si>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</si>
  <si>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</si>
  <si>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</si>
  <si>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</si>
  <si>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</si>
  <si>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</si>
  <si>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</si>
  <si>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</si>
  <si>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</si>
  <si>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</si>
  <si>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</si>
  <si>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</si>
  <si>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</si>
  <si>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</si>
  <si>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</si>
  <si>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</si>
  <si>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</si>
  <si>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</si>
  <si>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</si>
  <si>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</si>
  <si>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</si>
  <si>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</si>
  <si>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</si>
  <si>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</si>
  <si>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</si>
  <si>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</si>
  <si>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</si>
  <si>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</si>
  <si>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</si>
  <si>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</si>
  <si>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</si>
  <si>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</si>
  <si>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</si>
  <si>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</si>
  <si>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</si>
  <si>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</si>
  <si>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</si>
  <si>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</si>
  <si>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</si>
  <si>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</si>
  <si>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</si>
  <si>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</si>
  <si>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</si>
  <si>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</si>
  <si>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</si>
  <si>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</si>
  <si>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</si>
  <si>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</si>
  <si>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</si>
  <si>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</si>
  <si>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</si>
  <si>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</si>
  <si>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</si>
  <si>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</si>
  <si>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</si>
  <si>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</si>
  <si>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</si>
  <si>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</si>
  <si>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</si>
  <si>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</si>
  <si>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</si>
  <si>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</si>
  <si>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</si>
  <si>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</si>
  <si>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</si>
  <si>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</si>
  <si>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</si>
  <si>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</si>
  <si>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</si>
  <si>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</si>
  <si>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</si>
  <si>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</si>
  <si>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</si>
  <si>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</si>
  <si>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</si>
  <si>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</si>
  <si>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</si>
  <si>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</si>
  <si>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</si>
  <si>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</si>
  <si>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</si>
  <si>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</si>
  <si>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</si>
  <si>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</si>
  <si>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</si>
  <si>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</si>
  <si>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</si>
  <si>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</si>
  <si>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</si>
  <si>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</si>
  <si>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</si>
  <si>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</si>
  <si>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</si>
  <si>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</si>
  <si>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</si>
  <si>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</si>
  <si>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</si>
  <si>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</si>
  <si>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</si>
  <si>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</si>
  <si>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</si>
  <si>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</si>
  <si>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</si>
  <si>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</si>
  <si>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</si>
  <si>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</si>
  <si>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</si>
  <si>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</si>
  <si>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</si>
  <si>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</si>
  <si>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</si>
  <si>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</si>
  <si>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</si>
  <si>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</si>
  <si>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</si>
  <si>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</si>
  <si>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</si>
  <si>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2 Registrert rekreasjonsfiske utgjør 1 tonn, men det legges til grunn at hele avsetningen tas</t>
  </si>
  <si>
    <t>4 Registrert rekreasjonsfiske utgjør 3 tonn, men det legges til grunn at hele avsetningen tas</t>
  </si>
  <si>
    <t>3 Registrert rekreasjonsfiske utgjør 5 tonn, men det legges til grunn at hele avsetningen tas</t>
  </si>
  <si>
    <t>FANGST UKE 2</t>
  </si>
  <si>
    <t>FANGST T.O.M UKE 2</t>
  </si>
  <si>
    <t>RESTKVOTER UKE 2</t>
  </si>
  <si>
    <t>FANGST T.O.M UKE 2 2024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</si>
  <si>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</si>
  <si>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t>4  Kvoter justert for kvotefleksibilitet, dvs. kvoteoverføringer fra 2024, disse vil være ferdigstilt ila februar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</si>
  <si>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</si>
  <si>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2024, disse vil være ferdigstilt ila februar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</si>
  <si>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</si>
  <si>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</si>
  <si>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</si>
  <si>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2024, disse vil være ferdigstilt ila februar</t>
    </r>
  </si>
  <si>
    <r>
      <t xml:space="preserve">1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</si>
  <si>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t xml:space="preserve">2 </t>
    </r>
    <r>
      <rPr>
        <sz val="9"/>
        <rFont val="Calibri"/>
        <family val="2"/>
      </rPr>
      <t>14 094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</si>
  <si>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</si>
  <si>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</si>
  <si>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</si>
  <si>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</si>
  <si>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t>FANGST AV TORSK, HYSE, SEI, BLÅKVEITE, SNABELUER, LANGE, BROSME OG REKER I 2025</t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</si>
  <si>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</si>
  <si>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2024, disse vil være ferdigstilt ila februar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</si>
</sst>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362" zoomScale="130" zoomScaleNormal="85" zoomScaleSheetLayoutView="100" zoomScalePageLayoutView="130" workbookViewId="0">
      <selection activeCell="G376" sqref="G376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1" t="s">
        <v>146</v>
      </c>
      <c r="C2" s="302"/>
      <c r="D2" s="302"/>
      <c r="E2" s="302"/>
      <c r="F2" s="302"/>
      <c r="G2" s="302"/>
      <c r="H2" s="302"/>
      <c r="I2" s="302"/>
      <c r="J2" s="303"/>
    </row>
    <row r="3" spans="1:10" ht="14.85" customHeight="1" x14ac:dyDescent="0.2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4"/>
      <c r="C9" s="305"/>
      <c r="D9" s="305"/>
      <c r="E9" s="305"/>
      <c r="F9" s="305"/>
      <c r="G9" s="305"/>
      <c r="H9" s="305"/>
      <c r="I9" s="305"/>
      <c r="J9" s="306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78"/>
      <c r="J11" s="244"/>
    </row>
    <row r="12" spans="1:10" ht="14.1" customHeight="1" x14ac:dyDescent="0.25">
      <c r="A12" s="1"/>
      <c r="B12" s="254"/>
      <c r="C12" s="99"/>
      <c r="D12" s="99"/>
      <c r="E12" s="99" t="s">
        <v>4</v>
      </c>
      <c r="F12" s="114">
        <v>38668</v>
      </c>
      <c r="G12" s="115" t="s">
        <v>5</v>
      </c>
      <c r="H12" s="114">
        <v>12624</v>
      </c>
      <c r="I12" s="178"/>
      <c r="J12" s="244"/>
    </row>
    <row r="13" spans="1:10" ht="15.75" customHeight="1" x14ac:dyDescent="0.25">
      <c r="A13" s="1"/>
      <c r="B13" s="254"/>
      <c r="C13" s="115" t="s">
        <v>6</v>
      </c>
      <c r="D13" s="117">
        <v>163436</v>
      </c>
      <c r="E13" s="115" t="s">
        <v>7</v>
      </c>
      <c r="F13" s="117">
        <v>109370</v>
      </c>
      <c r="G13" s="115" t="s">
        <v>8</v>
      </c>
      <c r="H13" s="117">
        <v>78055</v>
      </c>
      <c r="I13" s="178"/>
      <c r="J13" s="244"/>
    </row>
    <row r="14" spans="1:10" ht="14.25" customHeight="1" x14ac:dyDescent="0.25">
      <c r="A14" s="1"/>
      <c r="B14" s="254"/>
      <c r="C14" s="115" t="s">
        <v>9</v>
      </c>
      <c r="D14" s="117">
        <v>151436</v>
      </c>
      <c r="E14" s="115" t="s">
        <v>10</v>
      </c>
      <c r="F14" s="117">
        <v>15398</v>
      </c>
      <c r="G14" s="115" t="s">
        <v>11</v>
      </c>
      <c r="H14" s="117">
        <v>9859</v>
      </c>
      <c r="I14" s="178"/>
      <c r="J14" s="244"/>
    </row>
    <row r="15" spans="1:10" ht="15.75" customHeight="1" x14ac:dyDescent="0.25">
      <c r="A15" s="1"/>
      <c r="B15" s="254"/>
      <c r="C15" s="115" t="s">
        <v>74</v>
      </c>
      <c r="D15" s="117">
        <v>46128</v>
      </c>
      <c r="E15" s="147"/>
      <c r="F15" s="166"/>
      <c r="G15" s="165" t="s">
        <v>12</v>
      </c>
      <c r="H15" s="289">
        <v>8832</v>
      </c>
      <c r="I15" s="178"/>
      <c r="J15" s="244"/>
    </row>
    <row r="16" spans="1:10" ht="14.1" customHeight="1" x14ac:dyDescent="0.25">
      <c r="A16" s="1"/>
      <c r="B16" s="254"/>
      <c r="C16" s="177" t="s">
        <v>13</v>
      </c>
      <c r="D16" s="189">
        <f>SUM(D13:D15)</f>
        <v>361000</v>
      </c>
      <c r="E16" s="177" t="s">
        <v>14</v>
      </c>
      <c r="F16" s="189">
        <f>SUM(F12:F15)</f>
        <v>163436</v>
      </c>
      <c r="G16" s="177" t="s">
        <v>7</v>
      </c>
      <c r="H16" s="189">
        <f>SUM(H12:H15)</f>
        <v>109370</v>
      </c>
      <c r="J16" s="244"/>
    </row>
    <row r="17" spans="1:10" ht="30" customHeight="1" x14ac:dyDescent="0.25">
      <c r="A17" s="101"/>
      <c r="B17" s="24"/>
      <c r="C17" s="300"/>
      <c r="D17" s="300"/>
      <c r="E17" s="300"/>
      <c r="F17" s="300"/>
      <c r="G17" s="300"/>
      <c r="H17" s="300"/>
      <c r="I17" s="101"/>
      <c r="J17" s="157"/>
    </row>
    <row r="18" spans="1:10" ht="15" customHeight="1" x14ac:dyDescent="0.2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128</v>
      </c>
      <c r="G22" s="68" t="s">
        <v>129</v>
      </c>
      <c r="H22" s="68" t="s">
        <v>130</v>
      </c>
      <c r="I22" s="68" t="s">
        <v>131</v>
      </c>
      <c r="J22" s="279"/>
    </row>
    <row r="23" spans="1:10" ht="14.1" customHeight="1" x14ac:dyDescent="0.25">
      <c r="A23" s="1"/>
      <c r="B23" s="254"/>
      <c r="C23" s="16" t="s">
        <v>19</v>
      </c>
      <c r="D23" s="28">
        <f>D24+D25</f>
        <v>38668</v>
      </c>
      <c r="E23" s="28">
        <f>E24+E25</f>
        <v>38668</v>
      </c>
      <c r="F23" s="28">
        <f t="shared" ref="F23:I23" si="0">F25+F24</f>
        <v>469.53149999999999</v>
      </c>
      <c r="G23" s="28">
        <f t="shared" si="0"/>
        <v>838.53749999999991</v>
      </c>
      <c r="H23" s="11">
        <f t="shared" si="0"/>
        <v>37829.462500000001</v>
      </c>
      <c r="I23" s="11">
        <f t="shared" si="0"/>
        <v>668.87700000000007</v>
      </c>
      <c r="J23" s="244"/>
    </row>
    <row r="24" spans="1:10" ht="14.1" customHeight="1" x14ac:dyDescent="0.25">
      <c r="A24" s="1"/>
      <c r="B24" s="254"/>
      <c r="C24" s="44" t="s">
        <v>20</v>
      </c>
      <c r="D24" s="45">
        <v>37918</v>
      </c>
      <c r="E24" s="45">
        <v>37918</v>
      </c>
      <c r="F24" s="23">
        <f>465.573</f>
        <v>465.57299999999998</v>
      </c>
      <c r="G24" s="23">
        <f>834.579</f>
        <v>834.57899999999995</v>
      </c>
      <c r="H24" s="23">
        <f>E24-G24</f>
        <v>37083.421000000002</v>
      </c>
      <c r="I24" s="23">
        <f>668.277</f>
        <v>668.27700000000004</v>
      </c>
      <c r="J24" s="244"/>
    </row>
    <row r="25" spans="1:10" ht="14.1" customHeight="1" x14ac:dyDescent="0.25">
      <c r="A25" s="1"/>
      <c r="B25" s="254"/>
      <c r="C25" s="48" t="s">
        <v>21</v>
      </c>
      <c r="D25" s="49">
        <v>750</v>
      </c>
      <c r="E25" s="49">
        <v>750</v>
      </c>
      <c r="F25" s="171">
        <f>3.9585</f>
        <v>3.9584999999999999</v>
      </c>
      <c r="G25" s="23">
        <f>3.9585</f>
        <v>3.9584999999999999</v>
      </c>
      <c r="H25" s="23">
        <f>E25-G25</f>
        <v>746.04150000000004</v>
      </c>
      <c r="I25" s="23">
        <f>0.6</f>
        <v>0.6</v>
      </c>
      <c r="J25" s="244"/>
    </row>
    <row r="26" spans="1:10" ht="14.1" customHeight="1" x14ac:dyDescent="0.25">
      <c r="A26" s="1"/>
      <c r="B26" s="254"/>
      <c r="C26" s="16" t="s">
        <v>22</v>
      </c>
      <c r="D26" s="28">
        <f>D27+D33+D34</f>
        <v>112463</v>
      </c>
      <c r="E26" s="28">
        <f>E27+E33+E34</f>
        <v>112463</v>
      </c>
      <c r="F26" s="28">
        <f t="shared" ref="F26:I26" si="1">F34+F33+F27</f>
        <v>807.33326000000011</v>
      </c>
      <c r="G26" s="11">
        <f t="shared" si="1"/>
        <v>1141.4985799999999</v>
      </c>
      <c r="H26" s="11">
        <f t="shared" si="1"/>
        <v>111321.50141999999</v>
      </c>
      <c r="I26" s="11">
        <f t="shared" si="1"/>
        <v>1985.9619000000002</v>
      </c>
      <c r="J26" s="244"/>
    </row>
    <row r="27" spans="1:10" ht="15" customHeight="1" x14ac:dyDescent="0.25">
      <c r="A27" s="51"/>
      <c r="B27" s="53"/>
      <c r="C27" s="56" t="s">
        <v>23</v>
      </c>
      <c r="D27" s="58">
        <f>D28+D29+D30+D31+D32</f>
        <v>89020</v>
      </c>
      <c r="E27" s="58">
        <f>E28+E29+E30+E31+E32</f>
        <v>89020</v>
      </c>
      <c r="F27" s="132">
        <f>F28+F29+F30+F31+F32</f>
        <v>622.73377000000005</v>
      </c>
      <c r="G27" s="132">
        <f t="shared" ref="G27:I27" si="2">G28+G29+G30+G31+G32</f>
        <v>907.80565999999999</v>
      </c>
      <c r="H27" s="132">
        <f t="shared" si="2"/>
        <v>88112.194339999987</v>
      </c>
      <c r="I27" s="132">
        <f t="shared" si="2"/>
        <v>1701.7355700000003</v>
      </c>
      <c r="J27" s="244"/>
    </row>
    <row r="28" spans="1:10" ht="14.1" customHeight="1" x14ac:dyDescent="0.25">
      <c r="A28" s="197"/>
      <c r="B28" s="182"/>
      <c r="C28" s="62" t="s">
        <v>24</v>
      </c>
      <c r="D28" s="63">
        <v>22666</v>
      </c>
      <c r="E28" s="63">
        <v>22666</v>
      </c>
      <c r="F28" s="203">
        <f>224.28645</f>
        <v>224.28645</v>
      </c>
      <c r="G28" s="127">
        <f>284.8404 - G56</f>
        <v>284.84039999999999</v>
      </c>
      <c r="H28" s="127">
        <f t="shared" ref="H28:H40" si="3">E28-G28</f>
        <v>22381.159599999999</v>
      </c>
      <c r="I28" s="127">
        <f>488.41395 - H56</f>
        <v>488.41395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22686</v>
      </c>
      <c r="E29" s="63">
        <v>22686</v>
      </c>
      <c r="F29" s="127">
        <f>286.43434</f>
        <v>286.43434000000002</v>
      </c>
      <c r="G29" s="127">
        <f>415.92694 - G57</f>
        <v>415.92694</v>
      </c>
      <c r="H29" s="127">
        <f t="shared" si="3"/>
        <v>22270.073059999999</v>
      </c>
      <c r="I29" s="127">
        <f>631.99485 - H57</f>
        <v>631.99485000000004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20630</v>
      </c>
      <c r="E30" s="63">
        <v>20630</v>
      </c>
      <c r="F30" s="127">
        <f>82.4692</f>
        <v>82.469200000000001</v>
      </c>
      <c r="G30" s="127">
        <f>165.04722 - G58</f>
        <v>165.04722000000001</v>
      </c>
      <c r="H30" s="127">
        <f t="shared" si="3"/>
        <v>20464.95278</v>
      </c>
      <c r="I30" s="127">
        <f>429.27761 - H58</f>
        <v>429.27760999999998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15166</v>
      </c>
      <c r="E31" s="63">
        <v>15166</v>
      </c>
      <c r="F31" s="127">
        <f>29.54378</f>
        <v>29.543780000000002</v>
      </c>
      <c r="G31" s="127">
        <f>41.9911 - G59</f>
        <v>41.991100000000003</v>
      </c>
      <c r="H31" s="127">
        <f t="shared" si="3"/>
        <v>15124.008900000001</v>
      </c>
      <c r="I31" s="127">
        <f>152.04916 - H59</f>
        <v>152.04916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7872</v>
      </c>
      <c r="F32" s="127">
        <f>F55</f>
        <v>0</v>
      </c>
      <c r="G32" s="127">
        <f>G55</f>
        <v>0</v>
      </c>
      <c r="H32" s="127">
        <f t="shared" si="3"/>
        <v>7872</v>
      </c>
      <c r="I32" s="127">
        <f>I55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12624</v>
      </c>
      <c r="E33" s="58">
        <v>12624</v>
      </c>
      <c r="F33" s="132">
        <f>55.99596</f>
        <v>55.995959999999997</v>
      </c>
      <c r="G33" s="132">
        <f>83.82853</f>
        <v>83.828530000000001</v>
      </c>
      <c r="H33" s="132">
        <f t="shared" si="3"/>
        <v>12540.171469999999</v>
      </c>
      <c r="I33" s="132">
        <f>110.42086</f>
        <v>110.42086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10819</v>
      </c>
      <c r="E34" s="58">
        <f>E35+E36</f>
        <v>10819</v>
      </c>
      <c r="F34" s="132">
        <f>F35+F36</f>
        <v>128.60353000000001</v>
      </c>
      <c r="G34" s="132">
        <f>G35+G36</f>
        <v>149.86438999999999</v>
      </c>
      <c r="H34" s="132">
        <f t="shared" si="3"/>
        <v>10669.135609999999</v>
      </c>
      <c r="I34" s="132">
        <f>I35+I36</f>
        <v>173.80547000000001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9859</v>
      </c>
      <c r="E35" s="63">
        <v>9859</v>
      </c>
      <c r="F35" s="127">
        <f>128.60353</f>
        <v>128.60353000000001</v>
      </c>
      <c r="G35" s="132">
        <f>149.86439 - G60 - G61</f>
        <v>149.86438999999999</v>
      </c>
      <c r="H35" s="127">
        <f t="shared" si="3"/>
        <v>9709.1356099999994</v>
      </c>
      <c r="I35" s="127">
        <f>173.80547 - I60 - I61</f>
        <v>173.80547000000001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0</v>
      </c>
      <c r="G36" s="71">
        <f>G60</f>
        <v>0</v>
      </c>
      <c r="H36" s="71">
        <f t="shared" si="3"/>
        <v>960</v>
      </c>
      <c r="I36" s="71">
        <f>I60</f>
        <v>0</v>
      </c>
      <c r="J36" s="65"/>
    </row>
    <row r="37" spans="1:13" ht="15.75" customHeight="1" x14ac:dyDescent="0.25">
      <c r="A37" s="1"/>
      <c r="B37" s="254"/>
      <c r="C37" s="73" t="s">
        <v>33</v>
      </c>
      <c r="D37" s="143">
        <v>1000</v>
      </c>
      <c r="E37" s="143">
        <v>1000</v>
      </c>
      <c r="F37" s="139">
        <f>0</f>
        <v>0</v>
      </c>
      <c r="G37" s="139">
        <f>0</f>
        <v>0</v>
      </c>
      <c r="H37" s="139">
        <f t="shared" si="3"/>
        <v>1000</v>
      </c>
      <c r="I37" s="139">
        <f>0</f>
        <v>0</v>
      </c>
      <c r="J37" s="244"/>
    </row>
    <row r="38" spans="1:13" ht="14.1" customHeight="1" x14ac:dyDescent="0.25">
      <c r="A38" s="1"/>
      <c r="B38" s="254"/>
      <c r="C38" s="73" t="s">
        <v>34</v>
      </c>
      <c r="D38" s="143">
        <v>855</v>
      </c>
      <c r="E38" s="143">
        <v>855</v>
      </c>
      <c r="F38" s="98">
        <f>4.66963</f>
        <v>4.6696299999999997</v>
      </c>
      <c r="G38" s="98">
        <f>9.36839</f>
        <v>9.3683899999999998</v>
      </c>
      <c r="H38" s="98">
        <f t="shared" si="3"/>
        <v>845.63161000000002</v>
      </c>
      <c r="I38" s="98">
        <f>0.0615</f>
        <v>6.1499999999999999E-2</v>
      </c>
      <c r="J38" s="244"/>
    </row>
    <row r="39" spans="1:13" ht="17.25" customHeight="1" x14ac:dyDescent="0.2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0</v>
      </c>
      <c r="G39" s="98">
        <f>G61</f>
        <v>0</v>
      </c>
      <c r="H39" s="98">
        <f t="shared" si="3"/>
        <v>3000</v>
      </c>
      <c r="I39" s="98">
        <f>I61</f>
        <v>0</v>
      </c>
      <c r="J39" s="244"/>
    </row>
    <row r="40" spans="1:13" ht="17.25" customHeight="1" x14ac:dyDescent="0.25">
      <c r="A40" s="1"/>
      <c r="B40" s="254"/>
      <c r="C40" s="73" t="s">
        <v>36</v>
      </c>
      <c r="D40" s="143">
        <v>7000</v>
      </c>
      <c r="E40" s="143">
        <v>7000</v>
      </c>
      <c r="F40" s="98">
        <f>4.69965</f>
        <v>4.6996500000000001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25">
      <c r="A41" s="1"/>
      <c r="B41" s="254"/>
      <c r="C41" s="73" t="s">
        <v>38</v>
      </c>
      <c r="D41" s="143">
        <v>450</v>
      </c>
      <c r="E41" s="143">
        <v>450</v>
      </c>
      <c r="F41" s="98">
        <f>3.61002</f>
        <v>3.61002</v>
      </c>
      <c r="G41" s="98">
        <f>4.01802</f>
        <v>4.0180199999999999</v>
      </c>
      <c r="H41" s="98">
        <f>E41-G41</f>
        <v>445.98198000000002</v>
      </c>
      <c r="I41" s="98">
        <f>0.042</f>
        <v>4.2000000000000003E-2</v>
      </c>
      <c r="J41" s="244"/>
    </row>
    <row r="42" spans="1:13" ht="17.25" customHeight="1" x14ac:dyDescent="0.25">
      <c r="A42" s="1"/>
      <c r="B42" s="254"/>
      <c r="C42" s="73"/>
      <c r="D42" s="143"/>
      <c r="E42" s="143"/>
      <c r="F42" s="98"/>
      <c r="G42" s="98"/>
      <c r="H42" s="98"/>
      <c r="I42" s="98"/>
      <c r="J42" s="244"/>
      <c r="M42" s="225"/>
    </row>
    <row r="43" spans="1:13" ht="14.1" customHeight="1" x14ac:dyDescent="0.25">
      <c r="A43" s="1"/>
      <c r="B43" s="254"/>
      <c r="C43" s="73" t="s">
        <v>39</v>
      </c>
      <c r="D43" s="143"/>
      <c r="E43" s="139"/>
      <c r="F43" s="139">
        <f>0.766</f>
        <v>0.76600000000000001</v>
      </c>
      <c r="G43" s="139">
        <f>0.826</f>
        <v>0.82599999999999996</v>
      </c>
      <c r="H43" s="139">
        <f t="shared" ref="H43" si="4">E43-G43</f>
        <v>-0.82599999999999996</v>
      </c>
      <c r="I43" s="139">
        <f>0.459</f>
        <v>0.45900000000000002</v>
      </c>
      <c r="J43" s="244"/>
    </row>
    <row r="44" spans="1:13" ht="16.5" customHeight="1" x14ac:dyDescent="0.25">
      <c r="A44" s="1"/>
      <c r="B44" s="254"/>
      <c r="C44" s="74" t="s">
        <v>40</v>
      </c>
      <c r="D44" s="76">
        <f t="shared" ref="D44:I44" si="5">D23+D26+D37+D38+D39+D40+D41+D42+D43</f>
        <v>163436</v>
      </c>
      <c r="E44" s="76">
        <f t="shared" si="5"/>
        <v>163436</v>
      </c>
      <c r="F44" s="76">
        <f t="shared" si="5"/>
        <v>1290.6100600000004</v>
      </c>
      <c r="G44" s="76">
        <f t="shared" si="5"/>
        <v>8994.2484899999981</v>
      </c>
      <c r="H44" s="76">
        <f t="shared" si="5"/>
        <v>154441.75151</v>
      </c>
      <c r="I44" s="76">
        <f t="shared" si="5"/>
        <v>9655.4014000000006</v>
      </c>
      <c r="J44" s="244"/>
    </row>
    <row r="45" spans="1:13" ht="14.1" customHeight="1" x14ac:dyDescent="0.25">
      <c r="A45" s="101"/>
      <c r="B45" s="24"/>
      <c r="C45" s="77" t="s">
        <v>132</v>
      </c>
      <c r="D45" s="258"/>
      <c r="E45" s="258"/>
      <c r="F45" s="80"/>
      <c r="G45" s="80"/>
      <c r="H45" s="228"/>
      <c r="I45" s="228"/>
      <c r="J45" s="81"/>
    </row>
    <row r="46" spans="1:13" ht="14.1" customHeight="1" x14ac:dyDescent="0.2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" customHeight="1" x14ac:dyDescent="0.25">
      <c r="A47" s="101"/>
      <c r="B47" s="24"/>
      <c r="C47" s="161" t="s">
        <v>127</v>
      </c>
      <c r="D47" s="258"/>
      <c r="E47" s="258"/>
      <c r="F47" s="258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133</v>
      </c>
      <c r="D48" s="258"/>
      <c r="E48" s="258"/>
      <c r="F48" s="258"/>
      <c r="G48" s="258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" customHeight="1" x14ac:dyDescent="0.2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2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25">
      <c r="A52" s="101"/>
      <c r="B52" s="24"/>
      <c r="C52" s="292" t="s">
        <v>43</v>
      </c>
      <c r="D52" s="292"/>
      <c r="E52" s="292"/>
      <c r="F52" s="292"/>
      <c r="G52" s="292"/>
      <c r="H52" s="292"/>
      <c r="I52" s="83"/>
      <c r="J52" s="84"/>
    </row>
    <row r="53" spans="1:10" ht="7.5" customHeight="1" x14ac:dyDescent="0.2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123</v>
      </c>
      <c r="F54" s="68" t="s">
        <v>128</v>
      </c>
      <c r="G54" s="68" t="s">
        <v>129</v>
      </c>
      <c r="H54" s="68" t="s">
        <v>130</v>
      </c>
      <c r="I54" s="68" t="s">
        <v>131</v>
      </c>
      <c r="J54" s="244"/>
    </row>
    <row r="55" spans="1:10" ht="14.1" customHeight="1" x14ac:dyDescent="0.25">
      <c r="A55" s="101"/>
      <c r="B55" s="24"/>
      <c r="C55" s="16" t="s">
        <v>45</v>
      </c>
      <c r="D55" s="293">
        <v>7872</v>
      </c>
      <c r="E55" s="293">
        <v>7872</v>
      </c>
      <c r="F55" s="11">
        <f>F59+F58+F57+F56</f>
        <v>0</v>
      </c>
      <c r="G55" s="11">
        <f>G59+G58+G57+G56</f>
        <v>0</v>
      </c>
      <c r="H55" s="293">
        <f>E55-G55</f>
        <v>7872</v>
      </c>
      <c r="I55" s="11">
        <f>I59+I58+I57+I56</f>
        <v>0</v>
      </c>
      <c r="J55" s="120"/>
    </row>
    <row r="56" spans="1:10" ht="14.1" customHeight="1" x14ac:dyDescent="0.25">
      <c r="A56" s="101"/>
      <c r="B56" s="24"/>
      <c r="C56" s="62" t="s">
        <v>24</v>
      </c>
      <c r="D56" s="294"/>
      <c r="E56" s="294"/>
      <c r="F56" s="127"/>
      <c r="G56" s="127"/>
      <c r="H56" s="294"/>
      <c r="I56" s="127"/>
      <c r="J56" s="120"/>
    </row>
    <row r="57" spans="1:10" ht="14.1" customHeight="1" x14ac:dyDescent="0.25">
      <c r="A57" s="101"/>
      <c r="B57" s="24"/>
      <c r="C57" s="62" t="s">
        <v>25</v>
      </c>
      <c r="D57" s="294"/>
      <c r="E57" s="294"/>
      <c r="F57" s="127"/>
      <c r="G57" s="127"/>
      <c r="H57" s="294"/>
      <c r="I57" s="127"/>
      <c r="J57" s="244"/>
    </row>
    <row r="58" spans="1:10" ht="14.1" customHeight="1" x14ac:dyDescent="0.25">
      <c r="A58" s="101"/>
      <c r="B58" s="24"/>
      <c r="C58" s="62" t="s">
        <v>26</v>
      </c>
      <c r="D58" s="294"/>
      <c r="E58" s="294"/>
      <c r="F58" s="127"/>
      <c r="G58" s="127"/>
      <c r="H58" s="294"/>
      <c r="I58" s="127"/>
      <c r="J58" s="120"/>
    </row>
    <row r="59" spans="1:10" ht="14.1" customHeight="1" x14ac:dyDescent="0.25">
      <c r="A59" s="101"/>
      <c r="B59" s="24"/>
      <c r="C59" s="87" t="s">
        <v>27</v>
      </c>
      <c r="D59" s="295"/>
      <c r="E59" s="295"/>
      <c r="F59" s="192"/>
      <c r="G59" s="192"/>
      <c r="H59" s="295"/>
      <c r="I59" s="192"/>
      <c r="J59" s="120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960</v>
      </c>
      <c r="F60" s="95"/>
      <c r="G60" s="95"/>
      <c r="H60" s="95">
        <f>E60-G60</f>
        <v>960</v>
      </c>
      <c r="I60" s="95"/>
      <c r="J60" s="244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3000</v>
      </c>
      <c r="F61" s="139"/>
      <c r="G61" s="139"/>
      <c r="H61" s="139">
        <f>E61-G61</f>
        <v>3000</v>
      </c>
      <c r="I61" s="139"/>
      <c r="J61" s="120"/>
    </row>
    <row r="62" spans="1:10" ht="14.1" customHeight="1" x14ac:dyDescent="0.25">
      <c r="A62" s="101"/>
      <c r="B62" s="24"/>
      <c r="C62" s="77" t="s">
        <v>145</v>
      </c>
      <c r="D62" s="258"/>
      <c r="E62" s="258"/>
      <c r="F62" s="258"/>
      <c r="G62" s="258"/>
      <c r="H62" s="178"/>
      <c r="I62" s="178"/>
      <c r="J62" s="120"/>
    </row>
    <row r="63" spans="1:10" ht="14.1" customHeight="1" x14ac:dyDescent="0.2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2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113</v>
      </c>
      <c r="C68" s="286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204" customHeight="1" x14ac:dyDescent="0.25"/>
    <row r="78" spans="1:10" ht="17.100000000000001" customHeight="1" x14ac:dyDescent="0.2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9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6" t="s">
        <v>1</v>
      </c>
      <c r="D81" s="297"/>
      <c r="E81" s="296" t="s">
        <v>2</v>
      </c>
      <c r="F81" s="298"/>
      <c r="G81" s="296" t="s">
        <v>3</v>
      </c>
      <c r="H81" s="297"/>
      <c r="I81" s="178"/>
      <c r="J81" s="244"/>
    </row>
    <row r="82" spans="1:10" ht="15" customHeight="1" x14ac:dyDescent="0.25">
      <c r="B82" s="254"/>
      <c r="C82" s="115" t="s">
        <v>6</v>
      </c>
      <c r="D82" s="117">
        <v>65468</v>
      </c>
      <c r="E82" s="259" t="s">
        <v>4</v>
      </c>
      <c r="F82" s="114">
        <v>24193</v>
      </c>
      <c r="G82" s="191" t="s">
        <v>5</v>
      </c>
      <c r="H82" s="114">
        <v>7105</v>
      </c>
      <c r="I82" s="178"/>
      <c r="J82" s="244"/>
    </row>
    <row r="83" spans="1:10" ht="15" customHeight="1" x14ac:dyDescent="0.25">
      <c r="B83" s="254"/>
      <c r="C83" s="115" t="s">
        <v>9</v>
      </c>
      <c r="D83" s="117">
        <v>56468</v>
      </c>
      <c r="E83" s="248" t="s">
        <v>7</v>
      </c>
      <c r="F83" s="117">
        <v>39474</v>
      </c>
      <c r="G83" s="191" t="s">
        <v>8</v>
      </c>
      <c r="H83" s="117">
        <v>29211</v>
      </c>
      <c r="I83" s="178"/>
      <c r="J83" s="244"/>
    </row>
    <row r="84" spans="1:10" ht="14.1" customHeight="1" x14ac:dyDescent="0.25">
      <c r="B84" s="254"/>
      <c r="C84" s="115" t="s">
        <v>74</v>
      </c>
      <c r="D84" s="117">
        <v>8064</v>
      </c>
      <c r="E84" s="115" t="s">
        <v>10</v>
      </c>
      <c r="F84" s="117">
        <v>1801</v>
      </c>
      <c r="G84" s="191" t="s">
        <v>11</v>
      </c>
      <c r="H84" s="117">
        <v>3158</v>
      </c>
      <c r="I84" s="178"/>
      <c r="J84" s="244"/>
    </row>
    <row r="85" spans="1:10" ht="12" customHeight="1" x14ac:dyDescent="0.25">
      <c r="B85" s="254"/>
      <c r="C85" s="177" t="s">
        <v>49</v>
      </c>
      <c r="D85" s="189">
        <f>SUM(D82:D84)</f>
        <v>130000</v>
      </c>
      <c r="E85" s="177" t="s">
        <v>14</v>
      </c>
      <c r="F85" s="189">
        <f>SUM(F82:F84)</f>
        <v>65468</v>
      </c>
      <c r="G85" s="177" t="s">
        <v>7</v>
      </c>
      <c r="H85" s="189">
        <f>SUM(H82:H84)</f>
        <v>39474</v>
      </c>
      <c r="I85" s="178"/>
      <c r="J85" s="244"/>
    </row>
    <row r="86" spans="1:10" ht="14.25" customHeight="1" x14ac:dyDescent="0.25">
      <c r="A86" s="1"/>
      <c r="B86" s="254"/>
      <c r="C86" s="101"/>
      <c r="D86" s="220"/>
      <c r="E86" s="220"/>
      <c r="F86" s="220"/>
      <c r="G86" s="220"/>
      <c r="H86" s="220"/>
      <c r="I86" s="236"/>
      <c r="J86" s="120"/>
    </row>
    <row r="87" spans="1:10" ht="6" customHeight="1" x14ac:dyDescent="0.2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" customHeight="1" x14ac:dyDescent="0.2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2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4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128</v>
      </c>
      <c r="G91" s="15" t="s">
        <v>129</v>
      </c>
      <c r="H91" s="15" t="s">
        <v>130</v>
      </c>
      <c r="I91" s="15" t="s">
        <v>131</v>
      </c>
      <c r="J91" s="120"/>
    </row>
    <row r="92" spans="1:10" ht="14.1" customHeight="1" x14ac:dyDescent="0.25">
      <c r="A92" s="1"/>
      <c r="B92" s="254"/>
      <c r="C92" s="32" t="s">
        <v>19</v>
      </c>
      <c r="D92" s="28">
        <f>D93+D94</f>
        <v>24193</v>
      </c>
      <c r="E92" s="28">
        <f>E94+E93</f>
        <v>24193</v>
      </c>
      <c r="F92" s="11">
        <f t="shared" ref="F92:I92" si="6">F94+F93</f>
        <v>130.12299999999999</v>
      </c>
      <c r="G92" s="11">
        <f t="shared" si="6"/>
        <v>164.86399999999998</v>
      </c>
      <c r="H92" s="11">
        <f t="shared" si="6"/>
        <v>24028.135999999999</v>
      </c>
      <c r="I92" s="11">
        <f t="shared" si="6"/>
        <v>50.722000000000001</v>
      </c>
      <c r="J92" s="244"/>
    </row>
    <row r="93" spans="1:10" ht="15" customHeight="1" x14ac:dyDescent="0.25">
      <c r="A93" s="1"/>
      <c r="B93" s="254"/>
      <c r="C93" s="44" t="s">
        <v>20</v>
      </c>
      <c r="D93" s="45">
        <v>23443</v>
      </c>
      <c r="E93" s="45">
        <v>23443</v>
      </c>
      <c r="F93" s="23">
        <f>129.9256</f>
        <v>129.9256</v>
      </c>
      <c r="G93" s="23">
        <f>164.6666</f>
        <v>164.66659999999999</v>
      </c>
      <c r="H93" s="23">
        <f>E93-G93</f>
        <v>23278.3334</v>
      </c>
      <c r="I93" s="23">
        <f>50.673</f>
        <v>50.673000000000002</v>
      </c>
      <c r="J93" s="244"/>
    </row>
    <row r="94" spans="1:10" ht="14.1" customHeight="1" x14ac:dyDescent="0.25">
      <c r="A94" s="1"/>
      <c r="B94" s="254"/>
      <c r="C94" s="64" t="s">
        <v>21</v>
      </c>
      <c r="D94" s="49">
        <v>750</v>
      </c>
      <c r="E94" s="49">
        <v>750</v>
      </c>
      <c r="F94" s="50">
        <f>0.1974</f>
        <v>0.19739999999999999</v>
      </c>
      <c r="G94" s="50">
        <f>0.1974</f>
        <v>0.19739999999999999</v>
      </c>
      <c r="H94" s="50">
        <f>E94-G94</f>
        <v>749.80259999999998</v>
      </c>
      <c r="I94" s="50">
        <f>0.049</f>
        <v>4.9000000000000002E-2</v>
      </c>
      <c r="J94" s="244"/>
    </row>
    <row r="95" spans="1:10" ht="15.75" customHeight="1" x14ac:dyDescent="0.25">
      <c r="A95" s="1"/>
      <c r="B95" s="52"/>
      <c r="C95" s="16" t="s">
        <v>22</v>
      </c>
      <c r="D95" s="28">
        <f>D96+D101+D102</f>
        <v>40606</v>
      </c>
      <c r="E95" s="28">
        <f>E96+E101+E102</f>
        <v>40606</v>
      </c>
      <c r="F95" s="11">
        <f t="shared" ref="F95:I95" si="7">F96+F101+F102</f>
        <v>575.82092999999998</v>
      </c>
      <c r="G95" s="11">
        <f t="shared" si="7"/>
        <v>696.13305000000003</v>
      </c>
      <c r="H95" s="11">
        <f t="shared" si="7"/>
        <v>39909.866949999996</v>
      </c>
      <c r="I95" s="11">
        <f t="shared" si="7"/>
        <v>835.0778499999999</v>
      </c>
      <c r="J95" s="244"/>
    </row>
    <row r="96" spans="1:10" ht="14.1" customHeight="1" x14ac:dyDescent="0.25">
      <c r="A96" s="1"/>
      <c r="B96" s="53"/>
      <c r="C96" s="56" t="s">
        <v>23</v>
      </c>
      <c r="D96" s="58">
        <f>D97+D98+D99+D100</f>
        <v>30343</v>
      </c>
      <c r="E96" s="58">
        <f>E100+E99+E98+E97</f>
        <v>30343</v>
      </c>
      <c r="F96" s="132">
        <f t="shared" ref="F96:I96" si="8">F97+F98+F99+F100</f>
        <v>473.45988</v>
      </c>
      <c r="G96" s="132">
        <f t="shared" si="8"/>
        <v>573.85303999999996</v>
      </c>
      <c r="H96" s="132">
        <f t="shared" si="8"/>
        <v>29769.146959999998</v>
      </c>
      <c r="I96" s="132">
        <f t="shared" si="8"/>
        <v>712.07655999999997</v>
      </c>
      <c r="J96" s="244"/>
    </row>
    <row r="97" spans="1:10" ht="14.1" customHeight="1" x14ac:dyDescent="0.25">
      <c r="A97" s="197"/>
      <c r="B97" s="182"/>
      <c r="C97" s="62" t="s">
        <v>24</v>
      </c>
      <c r="D97" s="63">
        <v>8110</v>
      </c>
      <c r="E97" s="63">
        <v>8110</v>
      </c>
      <c r="F97" s="127">
        <f>277.10453</f>
        <v>277.10453000000001</v>
      </c>
      <c r="G97" s="127">
        <f>318.21044</f>
        <v>318.21044000000001</v>
      </c>
      <c r="H97" s="127">
        <f t="shared" ref="H97:H104" si="9">E97-G97</f>
        <v>7791.7895600000002</v>
      </c>
      <c r="I97" s="127">
        <f>286.37718</f>
        <v>286.37718000000001</v>
      </c>
      <c r="J97" s="244"/>
    </row>
    <row r="98" spans="1:10" ht="14.1" customHeight="1" x14ac:dyDescent="0.25">
      <c r="A98" s="197"/>
      <c r="B98" s="182"/>
      <c r="C98" s="62" t="s">
        <v>51</v>
      </c>
      <c r="D98" s="63">
        <v>8591</v>
      </c>
      <c r="E98" s="63">
        <v>8591</v>
      </c>
      <c r="F98" s="127">
        <f>142.14924</f>
        <v>142.14923999999999</v>
      </c>
      <c r="G98" s="127">
        <f>175.59024</f>
        <v>175.59023999999999</v>
      </c>
      <c r="H98" s="127">
        <f t="shared" si="9"/>
        <v>8415.4097600000005</v>
      </c>
      <c r="I98" s="127">
        <f>308.31709</f>
        <v>308.31709000000001</v>
      </c>
      <c r="J98" s="244"/>
    </row>
    <row r="99" spans="1:10" ht="14.1" customHeight="1" x14ac:dyDescent="0.25">
      <c r="A99" s="197"/>
      <c r="B99" s="182"/>
      <c r="C99" s="62" t="s">
        <v>52</v>
      </c>
      <c r="D99" s="63">
        <v>8179</v>
      </c>
      <c r="E99" s="63">
        <v>8179</v>
      </c>
      <c r="F99" s="127">
        <f>34.91342</f>
        <v>34.913420000000002</v>
      </c>
      <c r="G99" s="127">
        <f>59.58797</f>
        <v>59.587969999999999</v>
      </c>
      <c r="H99" s="127">
        <f t="shared" si="9"/>
        <v>8119.4120300000004</v>
      </c>
      <c r="I99" s="127">
        <f>91.55255</f>
        <v>91.552549999999997</v>
      </c>
      <c r="J99" s="244"/>
    </row>
    <row r="100" spans="1:10" ht="14.1" customHeight="1" x14ac:dyDescent="0.25">
      <c r="A100" s="197"/>
      <c r="B100" s="182"/>
      <c r="C100" s="62" t="s">
        <v>27</v>
      </c>
      <c r="D100" s="63">
        <v>5463</v>
      </c>
      <c r="E100" s="63">
        <v>5463</v>
      </c>
      <c r="F100" s="127">
        <f>19.29269</f>
        <v>19.29269</v>
      </c>
      <c r="G100" s="127">
        <f>20.46439</f>
        <v>20.464390000000002</v>
      </c>
      <c r="H100" s="127">
        <f t="shared" si="9"/>
        <v>5442.5356099999999</v>
      </c>
      <c r="I100" s="127">
        <f>25.82974</f>
        <v>25.829740000000001</v>
      </c>
      <c r="J100" s="244"/>
    </row>
    <row r="101" spans="1:10" ht="14.1" customHeight="1" x14ac:dyDescent="0.25">
      <c r="A101" s="197"/>
      <c r="B101" s="182"/>
      <c r="C101" s="56" t="s">
        <v>53</v>
      </c>
      <c r="D101" s="58">
        <v>7105</v>
      </c>
      <c r="E101" s="58">
        <v>7105</v>
      </c>
      <c r="F101" s="132">
        <f>2.68755</f>
        <v>2.6875499999999999</v>
      </c>
      <c r="G101" s="132">
        <f>2.91236</f>
        <v>2.9123600000000001</v>
      </c>
      <c r="H101" s="132">
        <f t="shared" si="9"/>
        <v>7102.0876399999997</v>
      </c>
      <c r="I101" s="132">
        <f>5.17104</f>
        <v>5.1710399999999996</v>
      </c>
      <c r="J101" s="244"/>
    </row>
    <row r="102" spans="1:10" ht="15.75" customHeight="1" x14ac:dyDescent="0.25">
      <c r="A102" s="1"/>
      <c r="B102" s="53"/>
      <c r="C102" s="38" t="s">
        <v>11</v>
      </c>
      <c r="D102" s="61">
        <v>3158</v>
      </c>
      <c r="E102" s="61">
        <v>3158</v>
      </c>
      <c r="F102" s="75">
        <f>99.6735</f>
        <v>99.673500000000004</v>
      </c>
      <c r="G102" s="75">
        <f>119.36765</f>
        <v>119.36765</v>
      </c>
      <c r="H102" s="75">
        <f t="shared" si="9"/>
        <v>3038.6323499999999</v>
      </c>
      <c r="I102" s="75">
        <f>117.83025</f>
        <v>117.83025000000001</v>
      </c>
      <c r="J102" s="244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0.1778</f>
        <v>0.17780000000000001</v>
      </c>
      <c r="G103" s="98">
        <f>0.1778</f>
        <v>0.17780000000000001</v>
      </c>
      <c r="H103" s="98">
        <f t="shared" si="9"/>
        <v>318.82220000000001</v>
      </c>
      <c r="I103" s="98">
        <f>0</f>
        <v>0</v>
      </c>
      <c r="J103" s="244"/>
    </row>
    <row r="104" spans="1:10" ht="18" customHeight="1" x14ac:dyDescent="0.25">
      <c r="A104" s="1"/>
      <c r="B104" s="254"/>
      <c r="C104" s="73" t="s">
        <v>54</v>
      </c>
      <c r="D104" s="143">
        <v>300</v>
      </c>
      <c r="E104" s="143">
        <v>300</v>
      </c>
      <c r="F104" s="139">
        <f>0.56785</f>
        <v>0.56784999999999997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25">
      <c r="A105" s="1"/>
      <c r="B105" s="254"/>
      <c r="C105" s="93" t="s">
        <v>38</v>
      </c>
      <c r="D105" s="143">
        <v>50</v>
      </c>
      <c r="E105" s="143">
        <v>50</v>
      </c>
      <c r="F105" s="98">
        <f>2.76608</f>
        <v>2.7660800000000001</v>
      </c>
      <c r="G105" s="98">
        <f>5.2295</f>
        <v>5.2294999999999998</v>
      </c>
      <c r="H105" s="139">
        <f>E105-G105</f>
        <v>44.770499999999998</v>
      </c>
      <c r="I105" s="98">
        <f>0.13224</f>
        <v>0.13224</v>
      </c>
      <c r="J105" s="244"/>
    </row>
    <row r="106" spans="1:10" ht="18" customHeight="1" x14ac:dyDescent="0.25">
      <c r="A106" s="1"/>
      <c r="B106" s="254"/>
      <c r="C106" s="93" t="s">
        <v>55</v>
      </c>
      <c r="D106" s="143"/>
      <c r="E106" s="139"/>
      <c r="F106" s="139">
        <f>0.125</f>
        <v>0.125</v>
      </c>
      <c r="G106" s="139">
        <f>0.125</f>
        <v>0.125</v>
      </c>
      <c r="H106" s="139">
        <f t="shared" ref="H106" si="10">E106-G106</f>
        <v>-0.125</v>
      </c>
      <c r="I106" s="139">
        <f>0.3</f>
        <v>0.3</v>
      </c>
      <c r="J106" s="244"/>
    </row>
    <row r="107" spans="1:10" ht="16.5" customHeight="1" x14ac:dyDescent="0.25">
      <c r="A107" s="1"/>
      <c r="B107" s="254"/>
      <c r="C107" s="74" t="s">
        <v>40</v>
      </c>
      <c r="D107" s="76">
        <f>D92+D95+D103+D104+D105+D106</f>
        <v>65468</v>
      </c>
      <c r="E107" s="76">
        <f t="shared" ref="E107" si="11">E92+E95+E103+E104+E105+E106</f>
        <v>65468</v>
      </c>
      <c r="F107" s="76">
        <f t="shared" ref="F107:I107" si="12">F92+F95+F103+F104+F105+F106</f>
        <v>709.58065999999997</v>
      </c>
      <c r="G107" s="76">
        <f t="shared" si="12"/>
        <v>1166.5293499999998</v>
      </c>
      <c r="H107" s="76">
        <f t="shared" si="12"/>
        <v>64301.470649999996</v>
      </c>
      <c r="I107" s="76">
        <f t="shared" si="12"/>
        <v>1186.2320899999997</v>
      </c>
      <c r="J107" s="244"/>
    </row>
    <row r="108" spans="1:10" ht="13.5" customHeight="1" x14ac:dyDescent="0.25">
      <c r="A108" s="1"/>
      <c r="B108" s="254"/>
      <c r="C108" s="77" t="s">
        <v>134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25">
      <c r="A109" s="1"/>
      <c r="B109" s="24"/>
      <c r="C109" s="161" t="s">
        <v>125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25">
      <c r="A110" s="1"/>
      <c r="B110" s="24"/>
      <c r="C110" s="161" t="s">
        <v>135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2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113</v>
      </c>
      <c r="D113" s="228"/>
      <c r="E113" s="228"/>
      <c r="F113" s="228"/>
      <c r="G113" s="228"/>
      <c r="H113" s="228"/>
      <c r="I113" s="101"/>
      <c r="J113" s="101" t="s">
        <v>113</v>
      </c>
    </row>
    <row r="114" spans="1:10" ht="14.25" customHeight="1" x14ac:dyDescent="0.25">
      <c r="A114" s="1"/>
      <c r="B114" s="101"/>
      <c r="C114" s="101" t="s">
        <v>113</v>
      </c>
      <c r="D114" s="101" t="s">
        <v>113</v>
      </c>
      <c r="E114" s="101"/>
      <c r="F114" s="101"/>
      <c r="G114" s="101"/>
      <c r="H114" s="101"/>
      <c r="I114" s="101"/>
      <c r="J114" s="101" t="s">
        <v>113</v>
      </c>
    </row>
    <row r="115" spans="1:10" ht="17.100000000000001" customHeight="1" x14ac:dyDescent="0.2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2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" customHeight="1" x14ac:dyDescent="0.25">
      <c r="A119" s="1"/>
      <c r="B119" s="254"/>
      <c r="C119" s="115" t="s">
        <v>6</v>
      </c>
      <c r="D119" s="114">
        <v>179367</v>
      </c>
      <c r="E119" s="99" t="s">
        <v>4</v>
      </c>
      <c r="F119" s="114">
        <v>64787</v>
      </c>
      <c r="G119" s="115" t="s">
        <v>5</v>
      </c>
      <c r="H119" s="114">
        <v>7319</v>
      </c>
      <c r="I119" s="178"/>
      <c r="J119" s="244"/>
    </row>
    <row r="120" spans="1:10" ht="14.1" customHeight="1" x14ac:dyDescent="0.25">
      <c r="A120" s="1"/>
      <c r="B120" s="254"/>
      <c r="C120" s="115" t="s">
        <v>9</v>
      </c>
      <c r="D120" s="117">
        <v>12100</v>
      </c>
      <c r="E120" s="115" t="s">
        <v>7</v>
      </c>
      <c r="F120" s="117">
        <v>66538</v>
      </c>
      <c r="G120" s="115" t="s">
        <v>8</v>
      </c>
      <c r="H120" s="117">
        <v>49904</v>
      </c>
      <c r="I120" s="178"/>
      <c r="J120" s="244"/>
    </row>
    <row r="121" spans="1:10" ht="14.1" customHeight="1" x14ac:dyDescent="0.25">
      <c r="A121" s="1"/>
      <c r="B121" s="254"/>
      <c r="C121" s="248" t="s">
        <v>58</v>
      </c>
      <c r="D121" s="117">
        <v>1650</v>
      </c>
      <c r="E121" s="115" t="s">
        <v>59</v>
      </c>
      <c r="F121" s="117">
        <v>43775</v>
      </c>
      <c r="G121" s="115" t="s">
        <v>11</v>
      </c>
      <c r="H121" s="117">
        <v>9315</v>
      </c>
      <c r="I121" s="178"/>
      <c r="J121" s="244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4267</v>
      </c>
      <c r="G122" s="115"/>
      <c r="H122" s="165"/>
      <c r="I122" s="178"/>
      <c r="J122" s="244"/>
    </row>
    <row r="123" spans="1:10" ht="12" customHeight="1" x14ac:dyDescent="0.25">
      <c r="A123" s="1"/>
      <c r="B123" s="254"/>
      <c r="C123" s="177" t="s">
        <v>49</v>
      </c>
      <c r="D123" s="213">
        <v>193117</v>
      </c>
      <c r="E123" s="112" t="s">
        <v>14</v>
      </c>
      <c r="F123" s="189">
        <v>179367</v>
      </c>
      <c r="G123" s="177" t="s">
        <v>7</v>
      </c>
      <c r="H123" s="189">
        <v>66538</v>
      </c>
      <c r="I123" s="178"/>
      <c r="J123" s="244"/>
    </row>
    <row r="124" spans="1:10" ht="12" customHeight="1" x14ac:dyDescent="0.25">
      <c r="A124" s="101"/>
      <c r="B124" s="24"/>
      <c r="C124" s="101" t="s">
        <v>136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2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128</v>
      </c>
      <c r="G127" s="15" t="s">
        <v>129</v>
      </c>
      <c r="H127" s="15" t="s">
        <v>130</v>
      </c>
      <c r="I127" s="15" t="s">
        <v>131</v>
      </c>
      <c r="J127" s="279"/>
    </row>
    <row r="128" spans="1:10" ht="14.1" customHeight="1" x14ac:dyDescent="0.25">
      <c r="A128" s="1"/>
      <c r="B128" s="254"/>
      <c r="C128" s="16" t="s">
        <v>62</v>
      </c>
      <c r="D128" s="28">
        <f>D129+D130+D131</f>
        <v>64787</v>
      </c>
      <c r="E128" s="28">
        <f>E129+E130+E131</f>
        <v>64787</v>
      </c>
      <c r="F128" s="11">
        <f t="shared" ref="F128:I128" si="13">F129+F130+F131</f>
        <v>55.926400000000001</v>
      </c>
      <c r="G128" s="11">
        <f t="shared" si="13"/>
        <v>105.6361</v>
      </c>
      <c r="H128" s="11">
        <f t="shared" si="13"/>
        <v>64681.363900000004</v>
      </c>
      <c r="I128" s="11">
        <f t="shared" si="13"/>
        <v>434.35950000000003</v>
      </c>
      <c r="J128" s="244"/>
    </row>
    <row r="129" spans="1:10" ht="14.1" customHeight="1" x14ac:dyDescent="0.25">
      <c r="A129" s="1"/>
      <c r="B129" s="254"/>
      <c r="C129" s="44" t="s">
        <v>20</v>
      </c>
      <c r="D129" s="45">
        <v>51830</v>
      </c>
      <c r="E129" s="45">
        <v>51830</v>
      </c>
      <c r="F129" s="23">
        <f>55.1988</f>
        <v>55.198799999999999</v>
      </c>
      <c r="G129" s="23">
        <f>104.9085</f>
        <v>104.9085</v>
      </c>
      <c r="H129" s="23">
        <f>E129-G129</f>
        <v>51725.091500000002</v>
      </c>
      <c r="I129" s="23">
        <f>432</f>
        <v>432</v>
      </c>
      <c r="J129" s="244"/>
    </row>
    <row r="130" spans="1:10" ht="15" customHeight="1" x14ac:dyDescent="0.25">
      <c r="A130" s="1"/>
      <c r="B130" s="254"/>
      <c r="C130" s="44" t="s">
        <v>21</v>
      </c>
      <c r="D130" s="45">
        <v>12457</v>
      </c>
      <c r="E130" s="45">
        <v>12457</v>
      </c>
      <c r="F130" s="23">
        <f>0.2376</f>
        <v>0.23760000000000001</v>
      </c>
      <c r="G130" s="23">
        <f>0.2376</f>
        <v>0.23760000000000001</v>
      </c>
      <c r="H130" s="23">
        <f>E130-G130</f>
        <v>12456.7624</v>
      </c>
      <c r="I130" s="23">
        <f>0.1485</f>
        <v>0.14849999999999999</v>
      </c>
      <c r="J130" s="244"/>
    </row>
    <row r="131" spans="1:10" ht="13.5" customHeight="1" x14ac:dyDescent="0.25">
      <c r="A131" s="1"/>
      <c r="B131" s="254"/>
      <c r="C131" s="48" t="s">
        <v>63</v>
      </c>
      <c r="D131" s="33">
        <v>500</v>
      </c>
      <c r="E131" s="33">
        <v>500</v>
      </c>
      <c r="F131" s="23">
        <f>0.49</f>
        <v>0.49</v>
      </c>
      <c r="G131" s="23">
        <f>0.49</f>
        <v>0.49</v>
      </c>
      <c r="H131" s="55">
        <f>E131-G131</f>
        <v>499.51</v>
      </c>
      <c r="I131" s="23">
        <f>2.211</f>
        <v>2.2109999999999999</v>
      </c>
      <c r="J131" s="244"/>
    </row>
    <row r="132" spans="1:10" ht="14.25" customHeight="1" x14ac:dyDescent="0.25">
      <c r="A132" s="67"/>
      <c r="B132" s="78"/>
      <c r="C132" s="88" t="s">
        <v>64</v>
      </c>
      <c r="D132" s="91">
        <v>43775</v>
      </c>
      <c r="E132" s="91">
        <v>43775</v>
      </c>
      <c r="F132" s="95">
        <f>4.149</f>
        <v>4.149</v>
      </c>
      <c r="G132" s="95">
        <f>8.318</f>
        <v>8.3179999999999996</v>
      </c>
      <c r="H132" s="95">
        <f>E132-G132</f>
        <v>43766.682000000001</v>
      </c>
      <c r="I132" s="95">
        <f>7.86</f>
        <v>7.86</v>
      </c>
      <c r="J132" s="116"/>
    </row>
    <row r="133" spans="1:10" ht="15.75" customHeight="1" x14ac:dyDescent="0.25">
      <c r="A133" s="1"/>
      <c r="B133" s="254"/>
      <c r="C133" s="142" t="s">
        <v>22</v>
      </c>
      <c r="D133" s="143">
        <f>D134+D139+D142</f>
        <v>67996</v>
      </c>
      <c r="E133" s="143">
        <f>E134+E139+E142</f>
        <v>67996</v>
      </c>
      <c r="F133" s="94">
        <f>F134+F139+F142</f>
        <v>2243.1459399999994</v>
      </c>
      <c r="G133" s="94">
        <f t="shared" ref="G133" si="14">G134+G139+G142</f>
        <v>3272.9926800000007</v>
      </c>
      <c r="H133" s="94">
        <f>H134+H139+H142</f>
        <v>64723.007320000004</v>
      </c>
      <c r="I133" s="94">
        <f>I134+I139+I142</f>
        <v>3948.63978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51362</v>
      </c>
      <c r="E134" s="122">
        <f>E135+E136+E137+E138</f>
        <v>51362</v>
      </c>
      <c r="F134" s="125">
        <f>F135+F136+F137+F138</f>
        <v>1994.5646299999999</v>
      </c>
      <c r="G134" s="125">
        <f>G135+G136+G138+G137</f>
        <v>2960.1845300000004</v>
      </c>
      <c r="H134" s="125">
        <f>H135+H136+H137+H138</f>
        <v>48401.815470000001</v>
      </c>
      <c r="I134" s="125">
        <f>I135+I136+I137+I138</f>
        <v>3596.9150500000001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13661</v>
      </c>
      <c r="E135" s="63">
        <v>13661</v>
      </c>
      <c r="F135" s="127">
        <f>552.23509</f>
        <v>552.23509000000001</v>
      </c>
      <c r="G135" s="127">
        <f>750.22749</f>
        <v>750.22748999999999</v>
      </c>
      <c r="H135" s="127">
        <f>E135-G135</f>
        <v>12910.772510000001</v>
      </c>
      <c r="I135" s="127">
        <f>881.8225</f>
        <v>881.82249999999999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14094</v>
      </c>
      <c r="E136" s="63">
        <v>14094</v>
      </c>
      <c r="F136" s="127">
        <f>721.06384</f>
        <v>721.06384000000003</v>
      </c>
      <c r="G136" s="127">
        <f>986.42658</f>
        <v>986.42657999999994</v>
      </c>
      <c r="H136" s="127">
        <f>E136-G136</f>
        <v>13107.573420000001</v>
      </c>
      <c r="I136" s="127">
        <f>1403.73707</f>
        <v>1403.7370699999999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12169</v>
      </c>
      <c r="E137" s="63">
        <v>12169</v>
      </c>
      <c r="F137" s="127">
        <f>350.81172</f>
        <v>350.81171999999998</v>
      </c>
      <c r="G137" s="127">
        <f>688.02703</f>
        <v>688.02702999999997</v>
      </c>
      <c r="H137" s="127">
        <f>E137-G137</f>
        <v>11480.972970000001</v>
      </c>
      <c r="I137" s="127">
        <f>744.95036</f>
        <v>744.95036000000005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11438</v>
      </c>
      <c r="E138" s="63">
        <v>11438</v>
      </c>
      <c r="F138" s="127">
        <f>370.45398</f>
        <v>370.45398</v>
      </c>
      <c r="G138" s="127">
        <f>535.50343</f>
        <v>535.50342999999998</v>
      </c>
      <c r="H138" s="127">
        <f>E138-G138</f>
        <v>10902.496569999999</v>
      </c>
      <c r="I138" s="127">
        <f>566.40512</f>
        <v>566.40512000000001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7319</v>
      </c>
      <c r="E139" s="58">
        <f>E140+E141</f>
        <v>7319</v>
      </c>
      <c r="F139" s="132">
        <f>SUM(F140:F141)</f>
        <v>63.6096</v>
      </c>
      <c r="G139" s="132">
        <f>SUM(G140:G141)</f>
        <v>89.527230000000003</v>
      </c>
      <c r="H139" s="132">
        <f>H140+H141</f>
        <v>7229.4727700000003</v>
      </c>
      <c r="I139" s="132">
        <f>SUM(I140:I141)</f>
        <v>47.0364</v>
      </c>
      <c r="J139" s="133"/>
    </row>
    <row r="140" spans="1:10" ht="14.1" customHeight="1" x14ac:dyDescent="0.25">
      <c r="A140" s="1"/>
      <c r="B140" s="254"/>
      <c r="C140" s="62" t="s">
        <v>66</v>
      </c>
      <c r="D140" s="63">
        <v>6819</v>
      </c>
      <c r="E140" s="63">
        <v>6819</v>
      </c>
      <c r="F140" s="127">
        <f>55.8096</f>
        <v>55.809600000000003</v>
      </c>
      <c r="G140" s="127">
        <f>80.11803</f>
        <v>80.118030000000005</v>
      </c>
      <c r="H140" s="127">
        <f t="shared" ref="H140:H148" si="15">E140-G140</f>
        <v>6738.8819700000004</v>
      </c>
      <c r="I140" s="127">
        <f>32.3976</f>
        <v>32.397599999999997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7.8</f>
        <v>7.8</v>
      </c>
      <c r="G141" s="127">
        <f>9.4092</f>
        <v>9.4092000000000002</v>
      </c>
      <c r="H141" s="127">
        <f t="shared" si="15"/>
        <v>490.5908</v>
      </c>
      <c r="I141" s="127">
        <f>14.6388</f>
        <v>14.6388</v>
      </c>
      <c r="J141" s="134"/>
    </row>
    <row r="142" spans="1:10" ht="15.75" customHeight="1" x14ac:dyDescent="0.25">
      <c r="A142" s="1"/>
      <c r="B142" s="254"/>
      <c r="C142" s="38" t="s">
        <v>11</v>
      </c>
      <c r="D142" s="61">
        <v>9315</v>
      </c>
      <c r="E142" s="61">
        <v>9315</v>
      </c>
      <c r="F142" s="75">
        <f>184.97171</f>
        <v>184.97171</v>
      </c>
      <c r="G142" s="75">
        <f>223.28092</f>
        <v>223.28092000000001</v>
      </c>
      <c r="H142" s="75">
        <f t="shared" si="15"/>
        <v>9091.7190800000008</v>
      </c>
      <c r="I142" s="75">
        <f>304.68833</f>
        <v>304.68833000000001</v>
      </c>
      <c r="J142" s="120"/>
    </row>
    <row r="143" spans="1:10" ht="15.75" customHeight="1" x14ac:dyDescent="0.25">
      <c r="A143" s="1"/>
      <c r="B143" s="254"/>
      <c r="C143" s="142" t="s">
        <v>34</v>
      </c>
      <c r="D143" s="143">
        <v>146</v>
      </c>
      <c r="E143" s="143">
        <v>146</v>
      </c>
      <c r="F143" s="139">
        <f>0.4347</f>
        <v>0.43469999999999998</v>
      </c>
      <c r="G143" s="139">
        <f>0.9159</f>
        <v>0.91590000000000005</v>
      </c>
      <c r="H143" s="139">
        <f t="shared" si="15"/>
        <v>145.08410000000001</v>
      </c>
      <c r="I143" s="139">
        <f>0</f>
        <v>0</v>
      </c>
      <c r="J143" s="120"/>
    </row>
    <row r="144" spans="1:10" ht="15.75" customHeight="1" x14ac:dyDescent="0.25">
      <c r="A144" s="1"/>
      <c r="B144" s="254"/>
      <c r="C144" s="140" t="s">
        <v>68</v>
      </c>
      <c r="D144" s="89">
        <v>350</v>
      </c>
      <c r="E144" s="89">
        <v>350</v>
      </c>
      <c r="F144" s="98">
        <f>0</f>
        <v>0</v>
      </c>
      <c r="G144" s="98">
        <f>0</f>
        <v>0</v>
      </c>
      <c r="H144" s="98">
        <f t="shared" si="15"/>
        <v>350</v>
      </c>
      <c r="I144" s="98">
        <f>0</f>
        <v>0</v>
      </c>
      <c r="J144" s="120"/>
    </row>
    <row r="145" spans="1:10" ht="18" customHeight="1" x14ac:dyDescent="0.25">
      <c r="A145" s="1"/>
      <c r="B145" s="254"/>
      <c r="C145" s="140" t="s">
        <v>69</v>
      </c>
      <c r="D145" s="143">
        <v>2000</v>
      </c>
      <c r="E145" s="143">
        <v>2000</v>
      </c>
      <c r="F145" s="139">
        <f>2.35883</f>
        <v>2.3588300000000002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2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4"/>
      <c r="C147" s="142" t="s">
        <v>70</v>
      </c>
      <c r="D147" s="143">
        <v>313</v>
      </c>
      <c r="E147" s="143">
        <v>313</v>
      </c>
      <c r="F147" s="98">
        <f>1.27015</f>
        <v>1.2701499999999999</v>
      </c>
      <c r="G147" s="98">
        <f>1.74735</f>
        <v>1.74735</v>
      </c>
      <c r="H147" s="139">
        <f t="shared" si="15"/>
        <v>311.25265000000002</v>
      </c>
      <c r="I147" s="98">
        <f>0.6507</f>
        <v>0.65069999999999995</v>
      </c>
      <c r="J147" s="120"/>
    </row>
    <row r="148" spans="1:10" ht="15" customHeight="1" x14ac:dyDescent="0.25">
      <c r="A148" s="1"/>
      <c r="B148" s="254"/>
      <c r="C148" s="142" t="s">
        <v>39</v>
      </c>
      <c r="D148" s="145"/>
      <c r="E148" s="143"/>
      <c r="F148" s="139">
        <f>6.3</f>
        <v>6.3</v>
      </c>
      <c r="G148" s="139">
        <f>8.102</f>
        <v>8.1020000000000003</v>
      </c>
      <c r="H148" s="139">
        <f t="shared" si="15"/>
        <v>-8.1020000000000003</v>
      </c>
      <c r="I148" s="139">
        <f>1.428</f>
        <v>1.4279999999999999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179367</v>
      </c>
      <c r="E150" s="76">
        <f t="shared" si="16"/>
        <v>179367</v>
      </c>
      <c r="F150" s="76">
        <f>F128+F132+F133+F143+F144+F145+F146+F147+F148</f>
        <v>2313.5850199999995</v>
      </c>
      <c r="G150" s="76">
        <f>G128+G132+G133+G143+G144+G145+G146+G147+G148</f>
        <v>5397.7120299999997</v>
      </c>
      <c r="H150" s="76">
        <f>H128+H132+H133+H143+H144+H145+H146+H147+H148</f>
        <v>173969.28797</v>
      </c>
      <c r="I150" s="76">
        <f>I128+I132+I133+I143+I144+I145+I146+I147+I148</f>
        <v>6392.9379799999997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137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138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126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139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113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113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113</v>
      </c>
      <c r="B165" s="254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4"/>
      <c r="C166" s="177" t="s">
        <v>6</v>
      </c>
      <c r="D166" s="189">
        <v>9675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4"/>
      <c r="C167" s="177" t="s">
        <v>9</v>
      </c>
      <c r="D167" s="189">
        <v>8625</v>
      </c>
      <c r="E167" s="280"/>
      <c r="F167" s="280"/>
      <c r="G167" s="235"/>
      <c r="H167" s="1"/>
      <c r="I167" s="1"/>
      <c r="J167" s="120"/>
    </row>
    <row r="168" spans="1:10" ht="14.1" customHeight="1" x14ac:dyDescent="0.25">
      <c r="A168" s="1"/>
      <c r="B168" s="254"/>
      <c r="C168" s="177" t="s">
        <v>74</v>
      </c>
      <c r="D168" s="189">
        <v>700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4"/>
      <c r="C169" s="177" t="s">
        <v>49</v>
      </c>
      <c r="D169" s="189">
        <v>19000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4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2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128</v>
      </c>
      <c r="F174" s="15" t="s">
        <v>129</v>
      </c>
      <c r="G174" s="54" t="s">
        <v>130</v>
      </c>
      <c r="H174" s="15" t="s">
        <v>131</v>
      </c>
      <c r="I174" s="156"/>
      <c r="J174" s="279"/>
    </row>
    <row r="175" spans="1:10" ht="14.1" customHeight="1" x14ac:dyDescent="0.25">
      <c r="A175" s="1"/>
      <c r="B175" s="254"/>
      <c r="C175" s="141" t="s">
        <v>75</v>
      </c>
      <c r="D175" s="94">
        <v>3762</v>
      </c>
      <c r="E175" s="276">
        <f>1.49359</f>
        <v>1.49359</v>
      </c>
      <c r="F175" s="276">
        <f>35.32792</f>
        <v>35.327919999999999</v>
      </c>
      <c r="G175" s="43">
        <f>D175-F175-F176</f>
        <v>3726.6720799999998</v>
      </c>
      <c r="H175" s="276">
        <f>51.73226</f>
        <v>51.732259999999997</v>
      </c>
      <c r="I175" s="1"/>
      <c r="J175" s="120"/>
    </row>
    <row r="176" spans="1:10" ht="14.1" customHeight="1" x14ac:dyDescent="0.25">
      <c r="A176" s="1"/>
      <c r="B176" s="254"/>
      <c r="C176" s="137" t="s">
        <v>53</v>
      </c>
      <c r="D176" s="181"/>
      <c r="E176" s="152">
        <f>0</f>
        <v>0</v>
      </c>
      <c r="F176" s="152">
        <f>0</f>
        <v>0</v>
      </c>
      <c r="G176" s="217"/>
      <c r="H176" s="152">
        <f>0</f>
        <v>0</v>
      </c>
      <c r="I176" s="1"/>
      <c r="J176" s="120"/>
    </row>
    <row r="177" spans="1:10" ht="15.6" customHeight="1" x14ac:dyDescent="0.25">
      <c r="A177" s="1"/>
      <c r="B177" s="254"/>
      <c r="C177" s="169" t="s">
        <v>76</v>
      </c>
      <c r="D177" s="98">
        <v>200</v>
      </c>
      <c r="E177" s="172">
        <f>0</f>
        <v>0</v>
      </c>
      <c r="F177" s="172">
        <f>0</f>
        <v>0</v>
      </c>
      <c r="G177" s="172">
        <f>D177-F177</f>
        <v>200</v>
      </c>
      <c r="H177" s="172">
        <f>0.12558</f>
        <v>0.12558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5642</v>
      </c>
      <c r="E178" s="181">
        <f>E179+E180+E181</f>
        <v>3.6459000000000001</v>
      </c>
      <c r="F178" s="181">
        <f>F179+F180+F181</f>
        <v>3.8686600000000002</v>
      </c>
      <c r="G178" s="181">
        <f>D178-F178</f>
        <v>5638.1313399999999</v>
      </c>
      <c r="H178" s="181">
        <f>H179+H180+H181</f>
        <v>2.3140000000000001E-2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0.0559</f>
        <v>5.5899999999999998E-2</v>
      </c>
      <c r="F179" s="127">
        <f>0.0569</f>
        <v>5.6899999999999999E-2</v>
      </c>
      <c r="G179" s="127"/>
      <c r="H179" s="127">
        <f>0.01314</f>
        <v>1.3140000000000001E-2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0.9704</f>
        <v>0.97040000000000004</v>
      </c>
      <c r="F180" s="127">
        <f>0.9704</f>
        <v>0.97040000000000004</v>
      </c>
      <c r="G180" s="127"/>
      <c r="H180" s="127">
        <f>0.01</f>
        <v>0.01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2.6196</f>
        <v>2.6196000000000002</v>
      </c>
      <c r="F181" s="192">
        <f>2.84136</f>
        <v>2.8413599999999999</v>
      </c>
      <c r="G181" s="192"/>
      <c r="H181" s="192">
        <f>0</f>
        <v>0</v>
      </c>
      <c r="I181" s="186"/>
      <c r="J181" s="187"/>
    </row>
    <row r="182" spans="1:10" ht="14.1" customHeight="1" x14ac:dyDescent="0.25">
      <c r="A182" s="1"/>
      <c r="B182" s="254"/>
      <c r="C182" s="73" t="s">
        <v>81</v>
      </c>
      <c r="D182" s="139">
        <v>71</v>
      </c>
      <c r="E182" s="139">
        <f>0</f>
        <v>0</v>
      </c>
      <c r="F182" s="139">
        <f>0</f>
        <v>0</v>
      </c>
      <c r="G182" s="139">
        <f>D182-F182</f>
        <v>71</v>
      </c>
      <c r="H182" s="139">
        <f>0</f>
        <v>0</v>
      </c>
      <c r="I182" s="178"/>
      <c r="J182" s="244"/>
    </row>
    <row r="183" spans="1:10" ht="16.5" customHeight="1" x14ac:dyDescent="0.2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9675</v>
      </c>
      <c r="E184" s="194">
        <f>E175+E176+E177+E178+E182+E183</f>
        <v>5.1394900000000003</v>
      </c>
      <c r="F184" s="194">
        <f>F175+F176+F177+F178+F182+F183</f>
        <v>39.196579999999997</v>
      </c>
      <c r="G184" s="194">
        <f>D184-F184</f>
        <v>9635.8034200000002</v>
      </c>
      <c r="H184" s="194">
        <f>H175+H176+H177+H178+H182+H183</f>
        <v>51.880979999999994</v>
      </c>
      <c r="I184" s="163"/>
      <c r="J184" s="160"/>
    </row>
    <row r="185" spans="1:10" ht="42" customHeight="1" x14ac:dyDescent="0.25">
      <c r="A185" s="1"/>
      <c r="B185" s="198"/>
      <c r="C185" s="227" t="s">
        <v>140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25">
      <c r="A186" s="156" t="s">
        <v>113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113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113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2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4"/>
      <c r="C193" s="259" t="s">
        <v>84</v>
      </c>
      <c r="D193" s="270">
        <v>44278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4"/>
      <c r="C194" s="248" t="s">
        <v>85</v>
      </c>
      <c r="D194" s="46">
        <v>15194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4"/>
      <c r="C195" s="248" t="s">
        <v>86</v>
      </c>
      <c r="D195" s="46">
        <v>6719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4"/>
      <c r="C196" s="57" t="s">
        <v>49</v>
      </c>
      <c r="D196" s="35">
        <v>67191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4"/>
      <c r="C197" s="101" t="s">
        <v>117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4"/>
      <c r="C198" s="101" t="s">
        <v>141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4"/>
      <c r="C199" s="101" t="s">
        <v>142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2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4"/>
      <c r="C203" s="68" t="s">
        <v>16</v>
      </c>
      <c r="D203" s="79" t="s">
        <v>2</v>
      </c>
      <c r="E203" s="68" t="s">
        <v>128</v>
      </c>
      <c r="F203" s="68" t="s">
        <v>129</v>
      </c>
      <c r="G203" s="68" t="s">
        <v>130</v>
      </c>
      <c r="H203" s="68" t="s">
        <v>131</v>
      </c>
      <c r="I203" s="1"/>
      <c r="J203" s="120"/>
    </row>
    <row r="204" spans="1:10" ht="15" customHeight="1" x14ac:dyDescent="0.25">
      <c r="A204" s="1"/>
      <c r="B204" s="254"/>
      <c r="C204" s="90" t="s">
        <v>4</v>
      </c>
      <c r="D204" s="124">
        <v>44142</v>
      </c>
      <c r="E204" s="124">
        <f>900.63033</f>
        <v>900.63032999999996</v>
      </c>
      <c r="F204" s="124">
        <f>1607.10414</f>
        <v>1607.1041399999999</v>
      </c>
      <c r="G204" s="124">
        <f>D204-F204</f>
        <v>42534.895859999997</v>
      </c>
      <c r="H204" s="124">
        <f>885.01428</f>
        <v>885.01427999999999</v>
      </c>
      <c r="I204" s="248"/>
      <c r="J204" s="120"/>
    </row>
    <row r="205" spans="1:10" ht="15" customHeight="1" x14ac:dyDescent="0.25">
      <c r="A205" s="1"/>
      <c r="B205" s="254"/>
      <c r="C205" s="90" t="s">
        <v>67</v>
      </c>
      <c r="D205" s="124">
        <v>100</v>
      </c>
      <c r="E205" s="124">
        <f>0.2626</f>
        <v>0.2626</v>
      </c>
      <c r="F205" s="124">
        <f>0.2626</f>
        <v>0.2626</v>
      </c>
      <c r="G205" s="124">
        <f>D205-F205</f>
        <v>99.737399999999994</v>
      </c>
      <c r="H205" s="124">
        <f>0.044</f>
        <v>4.3999999999999997E-2</v>
      </c>
      <c r="I205" s="248"/>
      <c r="J205" s="120"/>
    </row>
    <row r="206" spans="1:10" ht="15.75" customHeight="1" x14ac:dyDescent="0.2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25">
      <c r="A207" s="1"/>
      <c r="B207" s="254"/>
      <c r="C207" s="179" t="s">
        <v>87</v>
      </c>
      <c r="D207" s="190">
        <f>SUM(D204:D206)</f>
        <v>44278</v>
      </c>
      <c r="E207" s="190">
        <f>SUM(E204:E206)</f>
        <v>900.89292999999998</v>
      </c>
      <c r="F207" s="190">
        <f>SUM(F204:F206)</f>
        <v>1607.3667399999999</v>
      </c>
      <c r="G207" s="190">
        <f>D207-F207</f>
        <v>42670.633260000002</v>
      </c>
      <c r="H207" s="190">
        <f>SUM(H204:H206)</f>
        <v>885.05827999999997</v>
      </c>
      <c r="I207" s="248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113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35">
      <c r="A243" s="150"/>
      <c r="B243" s="1"/>
      <c r="C243" s="215" t="s">
        <v>114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113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2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4"/>
      <c r="C248" s="68" t="s">
        <v>16</v>
      </c>
      <c r="D248" s="79" t="s">
        <v>2</v>
      </c>
      <c r="E248" s="68" t="s">
        <v>128</v>
      </c>
      <c r="F248" s="68" t="s">
        <v>129</v>
      </c>
      <c r="G248" s="68" t="s">
        <v>130</v>
      </c>
      <c r="H248" s="68" t="s">
        <v>131</v>
      </c>
      <c r="I248" s="1"/>
      <c r="J248" s="120"/>
    </row>
    <row r="249" spans="1:10" ht="15" customHeight="1" x14ac:dyDescent="0.25">
      <c r="A249" s="1"/>
      <c r="B249" s="254"/>
      <c r="C249" s="90" t="s">
        <v>118</v>
      </c>
      <c r="D249" s="124">
        <v>3987</v>
      </c>
      <c r="E249" s="75">
        <f>E250+E251</f>
        <v>3.343</v>
      </c>
      <c r="F249" s="75">
        <f>F250+F251</f>
        <v>5.9512800000000006</v>
      </c>
      <c r="G249" s="75">
        <f>D249-F249</f>
        <v>3981.0487199999998</v>
      </c>
      <c r="H249" s="75">
        <f>H250+H251</f>
        <v>6.4244199999999996</v>
      </c>
      <c r="I249" s="248"/>
      <c r="J249" s="120"/>
    </row>
    <row r="250" spans="1:10" ht="15" customHeight="1" x14ac:dyDescent="0.25">
      <c r="A250" s="1"/>
      <c r="B250" s="254"/>
      <c r="C250" s="177" t="s">
        <v>8</v>
      </c>
      <c r="D250" s="124"/>
      <c r="E250" s="75">
        <f>0.7338</f>
        <v>0.73380000000000001</v>
      </c>
      <c r="F250" s="75">
        <f>2.21992</f>
        <v>2.2199200000000001</v>
      </c>
      <c r="G250" s="75"/>
      <c r="H250" s="75">
        <f>0.6624</f>
        <v>0.66239999999999999</v>
      </c>
      <c r="I250" s="248"/>
      <c r="J250" s="120"/>
    </row>
    <row r="251" spans="1:10" ht="15" customHeight="1" x14ac:dyDescent="0.25">
      <c r="A251" s="1"/>
      <c r="B251" s="254"/>
      <c r="C251" s="177" t="s">
        <v>67</v>
      </c>
      <c r="D251" s="124"/>
      <c r="E251" s="124">
        <f>2.6092</f>
        <v>2.6092</v>
      </c>
      <c r="F251" s="124">
        <f>3.73136</f>
        <v>3.73136</v>
      </c>
      <c r="G251" s="168"/>
      <c r="H251" s="124">
        <f>5.76202</f>
        <v>5.7620199999999997</v>
      </c>
      <c r="I251" s="248"/>
      <c r="J251" s="120"/>
    </row>
    <row r="252" spans="1:10" ht="15" customHeight="1" x14ac:dyDescent="0.25">
      <c r="A252" s="1"/>
      <c r="B252" s="254"/>
      <c r="C252" s="90" t="s">
        <v>119</v>
      </c>
      <c r="D252" s="124">
        <v>4613</v>
      </c>
      <c r="E252" s="75">
        <f>81.50054</f>
        <v>81.500540000000001</v>
      </c>
      <c r="F252" s="75">
        <f>102.67938</f>
        <v>102.67937999999999</v>
      </c>
      <c r="G252" s="75">
        <f>D252-F252</f>
        <v>4510.3206200000004</v>
      </c>
      <c r="H252" s="75">
        <f>118.57504</f>
        <v>118.57504</v>
      </c>
      <c r="I252" s="248"/>
      <c r="J252" s="120"/>
    </row>
    <row r="253" spans="1:10" ht="16.5" customHeight="1" x14ac:dyDescent="0.25">
      <c r="A253" s="1"/>
      <c r="B253" s="254"/>
      <c r="C253" s="179" t="s">
        <v>87</v>
      </c>
      <c r="D253" s="190">
        <f>D252+D249</f>
        <v>8600</v>
      </c>
      <c r="E253" s="190">
        <f>SUM(E249,E252)</f>
        <v>84.843540000000004</v>
      </c>
      <c r="F253" s="190">
        <f>SUM(F249,F252)</f>
        <v>108.63065999999999</v>
      </c>
      <c r="G253" s="190">
        <f>D253-F253</f>
        <v>8491.3693399999993</v>
      </c>
      <c r="H253" s="190">
        <f>SUM(H249,H252)</f>
        <v>124.99946</v>
      </c>
      <c r="I253" s="248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113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35">
      <c r="A289" s="150"/>
      <c r="B289" s="1"/>
      <c r="C289" s="215" t="s">
        <v>115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113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2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4"/>
      <c r="C294" s="68" t="s">
        <v>16</v>
      </c>
      <c r="D294" s="79" t="s">
        <v>2</v>
      </c>
      <c r="E294" s="68" t="s">
        <v>128</v>
      </c>
      <c r="F294" s="68" t="s">
        <v>129</v>
      </c>
      <c r="G294" s="68" t="s">
        <v>130</v>
      </c>
      <c r="H294" s="68" t="s">
        <v>131</v>
      </c>
      <c r="I294" s="1"/>
      <c r="J294" s="120"/>
    </row>
    <row r="295" spans="1:10" ht="15" customHeight="1" x14ac:dyDescent="0.25">
      <c r="A295" s="1"/>
      <c r="B295" s="254"/>
      <c r="C295" s="90" t="s">
        <v>118</v>
      </c>
      <c r="D295" s="124">
        <v>5090</v>
      </c>
      <c r="E295" s="75">
        <f>E296+E297</f>
        <v>1.2972000000000001</v>
      </c>
      <c r="F295" s="75">
        <f>F296+F297</f>
        <v>8.2725000000000009</v>
      </c>
      <c r="G295" s="75">
        <f>D295-F295</f>
        <v>5081.7275</v>
      </c>
      <c r="H295" s="75">
        <f>H296+H297</f>
        <v>2.8828400000000003</v>
      </c>
      <c r="I295" s="248"/>
      <c r="J295" s="120"/>
    </row>
    <row r="296" spans="1:10" ht="15" customHeight="1" x14ac:dyDescent="0.25">
      <c r="A296" s="1"/>
      <c r="B296" s="254"/>
      <c r="C296" s="177" t="s">
        <v>8</v>
      </c>
      <c r="D296" s="124"/>
      <c r="E296" s="75">
        <f>0.4416</f>
        <v>0.44159999999999999</v>
      </c>
      <c r="F296" s="75">
        <f>6.9698</f>
        <v>6.9698000000000002</v>
      </c>
      <c r="G296" s="75"/>
      <c r="H296" s="75">
        <f>0.05614</f>
        <v>5.6140000000000002E-2</v>
      </c>
      <c r="I296" s="248"/>
      <c r="J296" s="120"/>
    </row>
    <row r="297" spans="1:10" ht="15" customHeight="1" x14ac:dyDescent="0.25">
      <c r="A297" s="1"/>
      <c r="B297" s="254"/>
      <c r="C297" s="177" t="s">
        <v>67</v>
      </c>
      <c r="D297" s="124"/>
      <c r="E297" s="124">
        <f>0.8556</f>
        <v>0.85560000000000003</v>
      </c>
      <c r="F297" s="124">
        <f>1.3027</f>
        <v>1.3027</v>
      </c>
      <c r="G297" s="168"/>
      <c r="H297" s="124">
        <f>2.8267</f>
        <v>2.8267000000000002</v>
      </c>
      <c r="I297" s="248"/>
      <c r="J297" s="120"/>
    </row>
    <row r="298" spans="1:10" ht="15" customHeight="1" x14ac:dyDescent="0.25">
      <c r="A298" s="1"/>
      <c r="B298" s="254"/>
      <c r="C298" s="90" t="s">
        <v>119</v>
      </c>
      <c r="D298" s="124">
        <v>2981</v>
      </c>
      <c r="E298" s="75">
        <f>100.87123</f>
        <v>100.87123</v>
      </c>
      <c r="F298" s="75">
        <f>135.88433</f>
        <v>135.88433000000001</v>
      </c>
      <c r="G298" s="75">
        <f>D298-F298</f>
        <v>2845.1156700000001</v>
      </c>
      <c r="H298" s="75">
        <f>101.59217</f>
        <v>101.59217</v>
      </c>
      <c r="I298" s="248"/>
      <c r="J298" s="120"/>
    </row>
    <row r="299" spans="1:10" ht="16.5" customHeight="1" x14ac:dyDescent="0.25">
      <c r="A299" s="1"/>
      <c r="B299" s="254"/>
      <c r="C299" s="179" t="s">
        <v>87</v>
      </c>
      <c r="D299" s="190">
        <f>D298+D295</f>
        <v>8071</v>
      </c>
      <c r="E299" s="190">
        <f>SUM(E295,E298)</f>
        <v>102.16843</v>
      </c>
      <c r="F299" s="190">
        <f>SUM(F295,F298)</f>
        <v>144.15683000000001</v>
      </c>
      <c r="G299" s="190">
        <f>D299-F299</f>
        <v>7926.8431700000001</v>
      </c>
      <c r="H299" s="190">
        <f>SUM(H295,H298)</f>
        <v>104.47501</v>
      </c>
      <c r="I299" s="248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113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2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25">
      <c r="A336" s="218" t="s">
        <v>113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4"/>
      <c r="C339" s="259" t="s">
        <v>84</v>
      </c>
      <c r="D339" s="270">
        <v>3003</v>
      </c>
      <c r="E339" s="150"/>
      <c r="F339" s="225"/>
      <c r="G339" s="1"/>
      <c r="H339" s="1"/>
      <c r="I339" s="1"/>
      <c r="J339" s="120"/>
    </row>
    <row r="340" spans="1:10" ht="14.1" customHeight="1" x14ac:dyDescent="0.25">
      <c r="A340" s="1"/>
      <c r="B340" s="254"/>
      <c r="C340" s="248" t="s">
        <v>90</v>
      </c>
      <c r="D340" s="46">
        <v>9419</v>
      </c>
      <c r="E340" s="150"/>
      <c r="F340" s="225"/>
      <c r="G340" s="1"/>
      <c r="H340" s="1"/>
      <c r="I340" s="1"/>
      <c r="J340" s="120"/>
    </row>
    <row r="341" spans="1:10" ht="14.1" customHeight="1" x14ac:dyDescent="0.25">
      <c r="A341" s="1"/>
      <c r="B341" s="254"/>
      <c r="C341" s="248" t="s">
        <v>91</v>
      </c>
      <c r="D341" s="46">
        <v>7106</v>
      </c>
      <c r="E341" s="150"/>
      <c r="F341" s="225"/>
      <c r="G341" s="1"/>
      <c r="H341" s="1"/>
      <c r="I341" s="1"/>
      <c r="J341" s="120"/>
    </row>
    <row r="342" spans="1:10" ht="13.5" customHeight="1" x14ac:dyDescent="0.25">
      <c r="A342" s="1"/>
      <c r="B342" s="254"/>
      <c r="C342" s="248" t="s">
        <v>120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25">
      <c r="A343" s="1"/>
      <c r="B343" s="254"/>
      <c r="C343" s="57" t="s">
        <v>49</v>
      </c>
      <c r="D343" s="35">
        <f>SUM(D339:D342)</f>
        <v>19910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" customHeight="1" x14ac:dyDescent="0.2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25">
      <c r="A349" s="1"/>
      <c r="B349" s="254"/>
      <c r="C349" s="68" t="s">
        <v>16</v>
      </c>
      <c r="D349" s="243" t="s">
        <v>2</v>
      </c>
      <c r="E349" s="68" t="s">
        <v>128</v>
      </c>
      <c r="F349" s="68" t="s">
        <v>129</v>
      </c>
      <c r="G349" s="68" t="s">
        <v>130</v>
      </c>
      <c r="H349" s="68" t="s">
        <v>131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6.61036</f>
        <v>6.61036</v>
      </c>
      <c r="F350" s="124">
        <f>7.29122</f>
        <v>7.29122</v>
      </c>
      <c r="G350" s="124">
        <f>D350-F350</f>
        <v>792.70878000000005</v>
      </c>
      <c r="H350" s="124">
        <f>12.13394</f>
        <v>12.133940000000001</v>
      </c>
      <c r="I350" s="67"/>
      <c r="J350" s="244"/>
    </row>
    <row r="351" spans="1:10" ht="14.1" customHeight="1" x14ac:dyDescent="0.25">
      <c r="A351" s="1"/>
      <c r="B351" s="254"/>
      <c r="C351" s="90" t="s">
        <v>94</v>
      </c>
      <c r="D351" s="246">
        <v>2193</v>
      </c>
      <c r="E351" s="124">
        <f>15.59652</f>
        <v>15.59652</v>
      </c>
      <c r="F351" s="124">
        <f>29.46049</f>
        <v>29.46049</v>
      </c>
      <c r="G351" s="124">
        <f>D351-F351</f>
        <v>2163.5395100000001</v>
      </c>
      <c r="H351" s="124">
        <f>34.06464</f>
        <v>34.064639999999997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0</f>
        <v>0</v>
      </c>
      <c r="G352" s="124">
        <f>D352-F352</f>
        <v>10</v>
      </c>
      <c r="H352" s="168">
        <f>0</f>
        <v>0</v>
      </c>
      <c r="I352" s="67"/>
      <c r="J352" s="249"/>
    </row>
    <row r="353" spans="1:10" ht="18.75" customHeight="1" x14ac:dyDescent="0.25">
      <c r="A353" s="67"/>
      <c r="B353" s="250"/>
      <c r="C353" s="146" t="s">
        <v>95</v>
      </c>
      <c r="D353" s="222"/>
      <c r="E353" s="168">
        <f>0.7941</f>
        <v>0.79410000000000003</v>
      </c>
      <c r="F353" s="168">
        <f>0.7941</f>
        <v>0.79410000000000003</v>
      </c>
      <c r="G353" s="124">
        <f>D353-F353</f>
        <v>-0.79410000000000003</v>
      </c>
      <c r="H353" s="168">
        <f>0</f>
        <v>0</v>
      </c>
      <c r="I353" s="282"/>
      <c r="J353" s="120"/>
    </row>
    <row r="354" spans="1:10" ht="14.1" customHeight="1" x14ac:dyDescent="0.25">
      <c r="A354" s="1"/>
      <c r="B354" s="254"/>
      <c r="C354" s="179" t="s">
        <v>87</v>
      </c>
      <c r="D354" s="6">
        <f>D339</f>
        <v>3003</v>
      </c>
      <c r="E354" s="190">
        <f>SUM(E350:E353)</f>
        <v>23.000979999999998</v>
      </c>
      <c r="F354" s="190">
        <f>SUM(F350:F353)</f>
        <v>37.545810000000003</v>
      </c>
      <c r="G354" s="190">
        <f>D354-F354</f>
        <v>2965.4541899999999</v>
      </c>
      <c r="H354" s="190">
        <f>H350+H351+H352+H353</f>
        <v>46.19858</v>
      </c>
      <c r="I354" s="1"/>
      <c r="J354" s="120"/>
    </row>
    <row r="355" spans="1:10" ht="14.1" customHeight="1" x14ac:dyDescent="0.2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113</v>
      </c>
    </row>
    <row r="358" spans="1:10" ht="14.1" customHeight="1" x14ac:dyDescent="0.25">
      <c r="A358" s="1" t="s">
        <v>113</v>
      </c>
    </row>
    <row r="359" spans="1:10" ht="14.1" customHeight="1" x14ac:dyDescent="0.25">
      <c r="A359" s="1" t="s">
        <v>113</v>
      </c>
    </row>
    <row r="360" spans="1:10" ht="14.1" customHeight="1" x14ac:dyDescent="0.25">
      <c r="A360" s="1"/>
      <c r="C360" s="150" t="s">
        <v>113</v>
      </c>
    </row>
    <row r="361" spans="1:10" x14ac:dyDescent="0.25">
      <c r="A361" s="1"/>
      <c r="C361" s="150" t="s">
        <v>113</v>
      </c>
    </row>
    <row r="362" spans="1:10" ht="14.1" customHeight="1" x14ac:dyDescent="0.25">
      <c r="A362" s="1"/>
      <c r="C362" s="150" t="s">
        <v>113</v>
      </c>
    </row>
    <row r="363" spans="1:10" ht="14.1" customHeight="1" x14ac:dyDescent="0.25">
      <c r="A363" s="1"/>
      <c r="C363" s="150" t="s">
        <v>113</v>
      </c>
    </row>
    <row r="364" spans="1:10" ht="30" customHeight="1" x14ac:dyDescent="0.3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9" t="s">
        <v>84</v>
      </c>
      <c r="D368" s="270">
        <f>37252+1500-880</f>
        <v>37872</v>
      </c>
      <c r="E368" s="252" t="s">
        <v>4</v>
      </c>
      <c r="F368" s="103">
        <v>24359</v>
      </c>
      <c r="G368" s="248" t="s">
        <v>20</v>
      </c>
      <c r="H368" s="46">
        <v>14132</v>
      </c>
      <c r="I368" s="150"/>
      <c r="J368" s="130"/>
    </row>
    <row r="369" spans="1:10" ht="14.25" customHeight="1" x14ac:dyDescent="0.25">
      <c r="B369" s="72"/>
      <c r="C369" s="248" t="s">
        <v>91</v>
      </c>
      <c r="D369" s="46">
        <f>25446+880-1500</f>
        <v>24826</v>
      </c>
      <c r="E369" s="178" t="s">
        <v>94</v>
      </c>
      <c r="F369" s="47">
        <v>8000</v>
      </c>
      <c r="G369" s="248" t="s">
        <v>21</v>
      </c>
      <c r="H369" s="46">
        <v>3678</v>
      </c>
      <c r="I369" s="150"/>
      <c r="J369" s="130"/>
    </row>
    <row r="370" spans="1:10" ht="14.25" customHeight="1" x14ac:dyDescent="0.25">
      <c r="B370" s="72"/>
      <c r="C370" s="248" t="s">
        <v>90</v>
      </c>
      <c r="D370" s="46">
        <v>8940</v>
      </c>
      <c r="E370" s="178" t="s">
        <v>59</v>
      </c>
      <c r="F370" s="47">
        <v>5500</v>
      </c>
      <c r="G370" s="248" t="s">
        <v>99</v>
      </c>
      <c r="H370" s="46">
        <v>5043</v>
      </c>
      <c r="I370" s="150"/>
      <c r="J370" s="130"/>
    </row>
    <row r="371" spans="1:10" ht="14.1" customHeight="1" x14ac:dyDescent="0.25">
      <c r="B371" s="72"/>
      <c r="C371" s="248"/>
      <c r="D371" s="46"/>
      <c r="E371" s="131"/>
      <c r="F371" s="144"/>
      <c r="G371" s="248" t="s">
        <v>100</v>
      </c>
      <c r="H371" s="46">
        <v>1506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71638</v>
      </c>
      <c r="E372" s="173" t="s">
        <v>101</v>
      </c>
      <c r="F372" s="35">
        <f>F368+F369+F370</f>
        <v>37859</v>
      </c>
      <c r="G372" s="57" t="s">
        <v>4</v>
      </c>
      <c r="H372" s="35">
        <f>SUM(H368:H371)</f>
        <v>24359</v>
      </c>
      <c r="I372" s="150"/>
      <c r="J372" s="130"/>
    </row>
    <row r="373" spans="1:10" ht="13.35" customHeight="1" x14ac:dyDescent="0.25">
      <c r="B373" s="72"/>
      <c r="C373" s="211" t="s">
        <v>143</v>
      </c>
      <c r="D373" s="178"/>
      <c r="E373" s="178"/>
      <c r="F373" s="178"/>
      <c r="G373" s="1"/>
      <c r="H373" s="178"/>
      <c r="I373" s="178"/>
      <c r="J373" s="244"/>
    </row>
    <row r="374" spans="1:10" ht="13.35" customHeight="1" x14ac:dyDescent="0.25">
      <c r="B374" s="72"/>
      <c r="C374" s="212" t="s">
        <v>121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2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25">
      <c r="B379" s="72"/>
      <c r="C379" s="223" t="s">
        <v>16</v>
      </c>
      <c r="D379" s="232" t="s">
        <v>17</v>
      </c>
      <c r="E379" s="68" t="s">
        <v>147</v>
      </c>
      <c r="F379" s="223" t="s">
        <v>128</v>
      </c>
      <c r="G379" s="223" t="s">
        <v>129</v>
      </c>
      <c r="H379" s="223" t="s">
        <v>130</v>
      </c>
      <c r="I379" s="223" t="s">
        <v>131</v>
      </c>
      <c r="J379" s="130"/>
    </row>
    <row r="380" spans="1:10" ht="14.1" customHeight="1" x14ac:dyDescent="0.25">
      <c r="A380" s="218"/>
      <c r="B380" s="72"/>
      <c r="C380" s="247" t="s">
        <v>19</v>
      </c>
      <c r="D380" s="251">
        <f t="shared" ref="D380:E380" si="17">D384+D383+D382+D381</f>
        <v>24359</v>
      </c>
      <c r="E380" s="251">
        <f t="shared" si="17"/>
        <v>24359</v>
      </c>
      <c r="F380" s="253">
        <f t="shared" ref="F380:I380" si="18">F384+F383+F382+F381</f>
        <v>34.465850000000003</v>
      </c>
      <c r="G380" s="253">
        <f t="shared" si="18"/>
        <v>36.801290000000002</v>
      </c>
      <c r="H380" s="253">
        <f>H384+H383+H382+H381</f>
        <v>24322.198710000001</v>
      </c>
      <c r="I380" s="253">
        <f t="shared" si="18"/>
        <v>112.47264</v>
      </c>
      <c r="J380" s="130"/>
    </row>
    <row r="381" spans="1:10" ht="14.1" customHeight="1" x14ac:dyDescent="0.25">
      <c r="A381" s="218"/>
      <c r="B381" s="72"/>
      <c r="C381" s="255" t="s">
        <v>103</v>
      </c>
      <c r="D381" s="256">
        <v>14132</v>
      </c>
      <c r="E381" s="256">
        <v>14132</v>
      </c>
      <c r="F381" s="257">
        <f>0</f>
        <v>0</v>
      </c>
      <c r="G381" s="257">
        <f>0</f>
        <v>0</v>
      </c>
      <c r="H381" s="257">
        <f t="shared" ref="H381:H385" si="19">E381-G381</f>
        <v>14132</v>
      </c>
      <c r="I381" s="257">
        <f>0</f>
        <v>0</v>
      </c>
      <c r="J381" s="130"/>
    </row>
    <row r="382" spans="1:10" ht="14.1" customHeight="1" x14ac:dyDescent="0.25">
      <c r="A382" s="218"/>
      <c r="B382" s="72"/>
      <c r="C382" s="260" t="s">
        <v>21</v>
      </c>
      <c r="D382" s="256">
        <v>3678</v>
      </c>
      <c r="E382" s="256">
        <v>3678</v>
      </c>
      <c r="F382" s="257">
        <f>0</f>
        <v>0</v>
      </c>
      <c r="G382" s="257">
        <f>0</f>
        <v>0</v>
      </c>
      <c r="H382" s="257">
        <f t="shared" si="19"/>
        <v>3678</v>
      </c>
      <c r="I382" s="257">
        <f>0</f>
        <v>0</v>
      </c>
      <c r="J382" s="130"/>
    </row>
    <row r="383" spans="1:10" ht="14.1" customHeight="1" x14ac:dyDescent="0.25">
      <c r="A383" s="218"/>
      <c r="B383" s="72"/>
      <c r="C383" s="260" t="s">
        <v>100</v>
      </c>
      <c r="D383" s="256">
        <v>1506</v>
      </c>
      <c r="E383" s="256">
        <v>1506</v>
      </c>
      <c r="F383" s="257">
        <f>33.13505</f>
        <v>33.13505</v>
      </c>
      <c r="G383" s="257">
        <f>35.16089</f>
        <v>35.160890000000002</v>
      </c>
      <c r="H383" s="257">
        <f t="shared" si="19"/>
        <v>1470.8391099999999</v>
      </c>
      <c r="I383" s="257">
        <f>107.06544</f>
        <v>107.06544</v>
      </c>
      <c r="J383" s="130"/>
    </row>
    <row r="384" spans="1:10" ht="14.1" customHeight="1" x14ac:dyDescent="0.25">
      <c r="A384" s="218"/>
      <c r="B384" s="72"/>
      <c r="C384" s="262" t="s">
        <v>124</v>
      </c>
      <c r="D384" s="263">
        <v>5043</v>
      </c>
      <c r="E384" s="263">
        <v>5043</v>
      </c>
      <c r="F384" s="257">
        <f>1.3308</f>
        <v>1.3308</v>
      </c>
      <c r="G384" s="257">
        <f>1.6404</f>
        <v>1.6404000000000001</v>
      </c>
      <c r="H384" s="257">
        <f t="shared" si="19"/>
        <v>5041.3595999999998</v>
      </c>
      <c r="I384" s="257">
        <f>5.4072</f>
        <v>5.4071999999999996</v>
      </c>
      <c r="J384" s="130"/>
    </row>
    <row r="385" spans="1:10" ht="14.1" customHeight="1" x14ac:dyDescent="0.25">
      <c r="A385" s="218"/>
      <c r="B385" s="72"/>
      <c r="C385" s="265" t="s">
        <v>59</v>
      </c>
      <c r="D385" s="266">
        <v>5500</v>
      </c>
      <c r="E385" s="266">
        <v>5500</v>
      </c>
      <c r="F385" s="268">
        <f>0</f>
        <v>0</v>
      </c>
      <c r="G385" s="268">
        <f>0</f>
        <v>0</v>
      </c>
      <c r="H385" s="268">
        <f t="shared" si="19"/>
        <v>5500</v>
      </c>
      <c r="I385" s="268">
        <f>0.5</f>
        <v>0.5</v>
      </c>
      <c r="J385" s="130"/>
    </row>
    <row r="386" spans="1:10" ht="14.1" customHeight="1" x14ac:dyDescent="0.2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30.55031</v>
      </c>
      <c r="G386" s="269">
        <f>G388+G387</f>
        <v>39.70129</v>
      </c>
      <c r="H386" s="269">
        <f>E386-G386</f>
        <v>7960.29871</v>
      </c>
      <c r="I386" s="269">
        <f>I388+I387</f>
        <v>113.00062</v>
      </c>
      <c r="J386" s="130"/>
    </row>
    <row r="387" spans="1:10" ht="14.1" customHeight="1" x14ac:dyDescent="0.25">
      <c r="A387" s="218"/>
      <c r="B387" s="72"/>
      <c r="C387" s="260" t="s">
        <v>53</v>
      </c>
      <c r="D387" s="271"/>
      <c r="E387" s="271"/>
      <c r="F387" s="257">
        <f>0</f>
        <v>0</v>
      </c>
      <c r="G387" s="257">
        <f>0</f>
        <v>0</v>
      </c>
      <c r="H387" s="257"/>
      <c r="I387" s="257">
        <f>0</f>
        <v>0</v>
      </c>
      <c r="J387" s="130"/>
    </row>
    <row r="388" spans="1:10" ht="14.1" customHeight="1" x14ac:dyDescent="0.25">
      <c r="A388" s="218"/>
      <c r="B388" s="72"/>
      <c r="C388" s="273" t="s">
        <v>104</v>
      </c>
      <c r="D388" s="274"/>
      <c r="E388" s="274"/>
      <c r="F388" s="277">
        <f>30.55031</f>
        <v>30.55031</v>
      </c>
      <c r="G388" s="277">
        <f>39.70129</f>
        <v>39.70129</v>
      </c>
      <c r="H388" s="277"/>
      <c r="I388" s="277">
        <f>113.00062</f>
        <v>113.00062</v>
      </c>
      <c r="J388" s="130"/>
    </row>
    <row r="389" spans="1:10" ht="14.1" customHeight="1" x14ac:dyDescent="0.2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</f>
        <v>0</v>
      </c>
      <c r="H389" s="268">
        <f>E389-G389</f>
        <v>13</v>
      </c>
      <c r="I389" s="268">
        <f>0</f>
        <v>0</v>
      </c>
      <c r="J389" s="130"/>
    </row>
    <row r="390" spans="1:10" ht="14.1" customHeight="1" x14ac:dyDescent="0.25">
      <c r="A390" s="218"/>
      <c r="B390" s="72"/>
      <c r="C390" s="278" t="s">
        <v>105</v>
      </c>
      <c r="D390" s="281"/>
      <c r="E390" s="281"/>
      <c r="F390" s="268">
        <f>1.06326</f>
        <v>1.0632600000000001</v>
      </c>
      <c r="G390" s="268">
        <f>1.08966</f>
        <v>1.0896600000000001</v>
      </c>
      <c r="H390" s="268">
        <f>E390-G390</f>
        <v>-1.0896600000000001</v>
      </c>
      <c r="I390" s="268">
        <f>0.11112</f>
        <v>0.11112</v>
      </c>
      <c r="J390" s="130"/>
    </row>
    <row r="391" spans="1:10" ht="19.5" customHeight="1" x14ac:dyDescent="0.25">
      <c r="A391" s="218"/>
      <c r="B391" s="72"/>
      <c r="C391" s="283" t="s">
        <v>40</v>
      </c>
      <c r="D391" s="284">
        <f>D380+D385+D386+D389+D390</f>
        <v>37872</v>
      </c>
      <c r="E391" s="284">
        <f>E380+E385+E386+E389+E390</f>
        <v>37872</v>
      </c>
      <c r="F391" s="285">
        <f t="shared" ref="F391:I391" si="20">F380+F385+F386+F389+F390</f>
        <v>66.079419999999999</v>
      </c>
      <c r="G391" s="285">
        <f t="shared" si="20"/>
        <v>77.59223999999999</v>
      </c>
      <c r="H391" s="285">
        <f>H380+H385+H386+H389+H390</f>
        <v>37794.407760000002</v>
      </c>
      <c r="I391" s="285">
        <f t="shared" si="20"/>
        <v>226.08437999999998</v>
      </c>
      <c r="J391" s="130"/>
    </row>
    <row r="392" spans="1:10" ht="14.1" customHeight="1" x14ac:dyDescent="0.25">
      <c r="A392" s="218"/>
      <c r="B392" s="72"/>
      <c r="C392" s="161" t="s">
        <v>106</v>
      </c>
      <c r="D392" s="287"/>
      <c r="E392" s="287"/>
      <c r="F392" s="4"/>
      <c r="G392" s="4"/>
      <c r="H392" s="5"/>
      <c r="I392" s="5"/>
      <c r="J392" s="130"/>
    </row>
    <row r="393" spans="1:10" ht="14.1" customHeight="1" x14ac:dyDescent="0.25">
      <c r="A393" s="218"/>
      <c r="B393" s="72"/>
      <c r="C393" s="101" t="s">
        <v>144</v>
      </c>
      <c r="D393" s="287"/>
      <c r="E393" s="287"/>
      <c r="F393" s="4"/>
      <c r="G393" s="4"/>
      <c r="H393" s="7"/>
      <c r="I393" s="5"/>
      <c r="J393" s="130"/>
    </row>
    <row r="394" spans="1:10" ht="14.1" customHeight="1" x14ac:dyDescent="0.25">
      <c r="A394" s="218"/>
      <c r="B394" s="72"/>
      <c r="C394" s="161" t="s">
        <v>148</v>
      </c>
      <c r="D394" s="287"/>
      <c r="E394" s="287"/>
      <c r="F394" s="4"/>
      <c r="G394" s="4"/>
      <c r="H394" s="5"/>
      <c r="I394" s="7"/>
      <c r="J394" s="130"/>
    </row>
    <row r="395" spans="1:10" ht="15.75" customHeight="1" x14ac:dyDescent="0.2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8"/>
      <c r="B397" s="150" t="s">
        <v>113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8"/>
      <c r="C398" s="150" t="s">
        <v>113</v>
      </c>
      <c r="D398" s="156"/>
    </row>
    <row r="399" spans="1:10" ht="14.1" customHeight="1" x14ac:dyDescent="0.2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" customHeight="1" x14ac:dyDescent="0.25">
      <c r="A400" s="218"/>
      <c r="B400" s="72"/>
      <c r="C400" s="219" t="s">
        <v>107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" customHeight="1" x14ac:dyDescent="0.2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8"/>
      <c r="B407" s="72"/>
      <c r="C407" s="299" t="s">
        <v>122</v>
      </c>
      <c r="D407" s="299"/>
      <c r="E407" s="299"/>
      <c r="F407" s="299"/>
      <c r="G407" s="214"/>
      <c r="H407" s="214"/>
      <c r="I407" s="150"/>
      <c r="J407" s="130"/>
    </row>
    <row r="408" spans="1:10" ht="14.1" customHeight="1" x14ac:dyDescent="0.2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" customHeight="1" x14ac:dyDescent="0.2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25">
      <c r="A412" s="218"/>
      <c r="B412" s="198"/>
      <c r="C412" s="20" t="s">
        <v>108</v>
      </c>
      <c r="D412" s="22" t="s">
        <v>109</v>
      </c>
      <c r="E412" s="20" t="s">
        <v>128</v>
      </c>
      <c r="F412" s="20" t="s">
        <v>129</v>
      </c>
      <c r="G412" s="25" t="s">
        <v>130</v>
      </c>
      <c r="H412" s="20" t="s">
        <v>131</v>
      </c>
      <c r="I412" s="224"/>
      <c r="J412" s="13"/>
    </row>
    <row r="413" spans="1:10" ht="14.1" customHeight="1" x14ac:dyDescent="0.25">
      <c r="A413" s="218"/>
      <c r="B413" s="72"/>
      <c r="C413" s="265" t="s">
        <v>110</v>
      </c>
      <c r="D413" s="204">
        <v>894</v>
      </c>
      <c r="E413" s="26">
        <f>SUM(E414:E415)</f>
        <v>0</v>
      </c>
      <c r="F413" s="26">
        <f>SUM(F414:F415)</f>
        <v>1023.2118800000001</v>
      </c>
      <c r="G413" s="85">
        <f>D413-F413</f>
        <v>-129.21188000000006</v>
      </c>
      <c r="H413" s="26">
        <f>SUM(H414:H415)</f>
        <v>988.40122999999994</v>
      </c>
      <c r="I413" s="27"/>
      <c r="J413" s="130"/>
    </row>
    <row r="414" spans="1:10" ht="14.1" customHeight="1" x14ac:dyDescent="0.25">
      <c r="A414" s="218"/>
      <c r="B414" s="72"/>
      <c r="C414" s="29" t="s">
        <v>8</v>
      </c>
      <c r="E414" s="205">
        <f>0</f>
        <v>0</v>
      </c>
      <c r="F414" s="205">
        <f>778.95308</f>
        <v>778.95308</v>
      </c>
      <c r="G414" s="206"/>
      <c r="H414" s="205">
        <f>753.71223</f>
        <v>753.71222999999998</v>
      </c>
      <c r="I414" s="150"/>
      <c r="J414" s="130"/>
    </row>
    <row r="415" spans="1:10" ht="14.1" customHeight="1" x14ac:dyDescent="0.25">
      <c r="A415" s="218"/>
      <c r="B415" s="72"/>
      <c r="C415" s="29" t="s">
        <v>11</v>
      </c>
      <c r="D415" s="207"/>
      <c r="E415" s="208">
        <f>0</f>
        <v>0</v>
      </c>
      <c r="F415" s="208">
        <f>244.2588</f>
        <v>244.25880000000001</v>
      </c>
      <c r="G415" s="209"/>
      <c r="H415" s="208">
        <f>234.689</f>
        <v>234.68899999999999</v>
      </c>
      <c r="I415" s="150"/>
      <c r="J415" s="130"/>
    </row>
    <row r="416" spans="1:10" ht="14.1" customHeight="1" x14ac:dyDescent="0.25">
      <c r="A416" s="218"/>
      <c r="B416" s="72"/>
      <c r="C416" s="265" t="s">
        <v>111</v>
      </c>
      <c r="D416" s="10">
        <v>894</v>
      </c>
      <c r="E416" s="26">
        <f>SUM(E417:E418)</f>
        <v>50.840679999999999</v>
      </c>
      <c r="F416" s="26">
        <f>SUM(F417:F418)</f>
        <v>494.43041999999997</v>
      </c>
      <c r="G416" s="85">
        <f>D416-F416</f>
        <v>399.56958000000003</v>
      </c>
      <c r="H416" s="26">
        <f>SUM(H417:H418)</f>
        <v>581.66849999999999</v>
      </c>
      <c r="I416" s="27"/>
      <c r="J416" s="130"/>
    </row>
    <row r="417" spans="1:10" ht="14.1" customHeight="1" x14ac:dyDescent="0.25">
      <c r="A417" s="218"/>
      <c r="B417" s="72"/>
      <c r="C417" s="29" t="s">
        <v>8</v>
      </c>
      <c r="D417" s="42"/>
      <c r="E417" s="30">
        <f>43.40318</f>
        <v>43.403179999999999</v>
      </c>
      <c r="F417" s="30">
        <f>374.16468</f>
        <v>374.16467999999998</v>
      </c>
      <c r="G417" s="97"/>
      <c r="H417" s="30">
        <f>443.64</f>
        <v>443.64</v>
      </c>
      <c r="I417" s="150"/>
      <c r="J417" s="130"/>
    </row>
    <row r="418" spans="1:10" ht="14.1" customHeight="1" x14ac:dyDescent="0.25">
      <c r="A418" s="218"/>
      <c r="B418" s="72"/>
      <c r="C418" s="29" t="s">
        <v>11</v>
      </c>
      <c r="D418" s="221"/>
      <c r="E418" s="30">
        <f>7.4375</f>
        <v>7.4375</v>
      </c>
      <c r="F418" s="30">
        <f>120.26574</f>
        <v>120.26573999999999</v>
      </c>
      <c r="G418" s="108"/>
      <c r="H418" s="30">
        <f>138.0285</f>
        <v>138.02850000000001</v>
      </c>
      <c r="I418" s="150"/>
      <c r="J418" s="130"/>
    </row>
    <row r="419" spans="1:10" ht="14.1" customHeight="1" x14ac:dyDescent="0.25">
      <c r="A419" s="218"/>
      <c r="B419" s="72"/>
      <c r="C419" s="265" t="s">
        <v>112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" customHeight="1" x14ac:dyDescent="0.2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8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8"/>
      <c r="B423" s="72"/>
      <c r="C423" s="283" t="s">
        <v>87</v>
      </c>
      <c r="D423" s="39">
        <f>D413+D416+D419</f>
        <v>2681</v>
      </c>
      <c r="E423" s="40">
        <f>E413+E416+E419+E422</f>
        <v>50.840679999999999</v>
      </c>
      <c r="F423" s="40">
        <f>F413+F416+F419+F422</f>
        <v>1517.6423</v>
      </c>
      <c r="G423" s="41">
        <f>D423-F423</f>
        <v>1163.3577</v>
      </c>
      <c r="H423" s="40">
        <f>H413+H416+H419+H422</f>
        <v>1570.0697299999999</v>
      </c>
      <c r="I423" s="27"/>
      <c r="J423" s="130"/>
    </row>
    <row r="424" spans="1:10" ht="42" customHeight="1" x14ac:dyDescent="0.25">
      <c r="A424" s="218"/>
      <c r="B424" s="72"/>
      <c r="C424" s="290" t="s">
        <v>116</v>
      </c>
      <c r="D424" s="290"/>
      <c r="E424" s="290"/>
      <c r="F424" s="290"/>
      <c r="G424" s="290"/>
      <c r="H424" s="290"/>
      <c r="I424" s="290"/>
      <c r="J424" s="291"/>
    </row>
    <row r="425" spans="1:10" ht="14.1" customHeight="1" x14ac:dyDescent="0.2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5">
    <mergeCell ref="C17:H17"/>
    <mergeCell ref="B2:J2"/>
    <mergeCell ref="B9:J9"/>
    <mergeCell ref="C11:D11"/>
    <mergeCell ref="E11:F11"/>
    <mergeCell ref="G11:H11"/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2&amp;R13.01.2025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2025-02-11T09:04:58Z</dcterms:modified>
</cp:coreProperties>
</file>