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533D5AF5-4C65-40B5-95B1-E14B21D8BA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G34" i="1"/>
  <c r="H192" i="1"/>
  <c r="H190" i="1"/>
  <c r="H189" i="1"/>
  <c r="G119" i="1"/>
  <c r="G125" i="1"/>
  <c r="H125" i="1" s="1"/>
  <c r="G124" i="1"/>
  <c r="G123" i="1"/>
  <c r="H123" i="1" s="1"/>
  <c r="G122" i="1"/>
  <c r="F27" i="1"/>
  <c r="G27" i="1"/>
  <c r="H27" i="1" s="1"/>
  <c r="H345" i="1"/>
  <c r="G345" i="1"/>
  <c r="F345" i="1"/>
  <c r="E345" i="1"/>
  <c r="D345" i="1"/>
  <c r="G344" i="1"/>
  <c r="G343" i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04" i="1"/>
  <c r="H303" i="1"/>
  <c r="G303" i="1"/>
  <c r="F303" i="1"/>
  <c r="E303" i="1"/>
  <c r="H302" i="1"/>
  <c r="F302" i="1"/>
  <c r="F300" i="1" s="1"/>
  <c r="G300" i="1" s="1"/>
  <c r="E302" i="1"/>
  <c r="H301" i="1"/>
  <c r="H300" i="1" s="1"/>
  <c r="F301" i="1"/>
  <c r="E301" i="1"/>
  <c r="E300" i="1" s="1"/>
  <c r="H299" i="1"/>
  <c r="F299" i="1"/>
  <c r="F297" i="1" s="1"/>
  <c r="G297" i="1" s="1"/>
  <c r="E299" i="1"/>
  <c r="H298" i="1"/>
  <c r="H297" i="1" s="1"/>
  <c r="F298" i="1"/>
  <c r="E298" i="1"/>
  <c r="E297" i="1"/>
  <c r="H296" i="1"/>
  <c r="F296" i="1"/>
  <c r="E296" i="1"/>
  <c r="H295" i="1"/>
  <c r="F295" i="1"/>
  <c r="F294" i="1" s="1"/>
  <c r="E295" i="1"/>
  <c r="H294" i="1"/>
  <c r="E294" i="1"/>
  <c r="D273" i="1"/>
  <c r="I272" i="1"/>
  <c r="H272" i="1"/>
  <c r="G272" i="1"/>
  <c r="F272" i="1"/>
  <c r="I271" i="1"/>
  <c r="H271" i="1"/>
  <c r="G271" i="1"/>
  <c r="F271" i="1"/>
  <c r="I270" i="1"/>
  <c r="G270" i="1"/>
  <c r="G268" i="1" s="1"/>
  <c r="H268" i="1" s="1"/>
  <c r="F270" i="1"/>
  <c r="I269" i="1"/>
  <c r="G269" i="1"/>
  <c r="F269" i="1"/>
  <c r="I268" i="1"/>
  <c r="F268" i="1"/>
  <c r="I267" i="1"/>
  <c r="G267" i="1"/>
  <c r="H267" i="1" s="1"/>
  <c r="F267" i="1"/>
  <c r="I266" i="1"/>
  <c r="H266" i="1"/>
  <c r="G266" i="1"/>
  <c r="F266" i="1"/>
  <c r="F262" i="1" s="1"/>
  <c r="F273" i="1" s="1"/>
  <c r="I265" i="1"/>
  <c r="G265" i="1"/>
  <c r="G262" i="1" s="1"/>
  <c r="F265" i="1"/>
  <c r="I264" i="1"/>
  <c r="H264" i="1"/>
  <c r="G264" i="1"/>
  <c r="F264" i="1"/>
  <c r="I263" i="1"/>
  <c r="G263" i="1"/>
  <c r="H263" i="1" s="1"/>
  <c r="F263" i="1"/>
  <c r="I262" i="1"/>
  <c r="I273" i="1" s="1"/>
  <c r="E262" i="1"/>
  <c r="E273" i="1" s="1"/>
  <c r="D262" i="1"/>
  <c r="H254" i="1"/>
  <c r="F254" i="1"/>
  <c r="D251" i="1"/>
  <c r="D250" i="1"/>
  <c r="D241" i="1"/>
  <c r="H240" i="1"/>
  <c r="F240" i="1"/>
  <c r="G240" i="1" s="1"/>
  <c r="E240" i="1"/>
  <c r="H239" i="1"/>
  <c r="G239" i="1"/>
  <c r="F239" i="1"/>
  <c r="E239" i="1"/>
  <c r="H238" i="1"/>
  <c r="F238" i="1"/>
  <c r="G238" i="1" s="1"/>
  <c r="E238" i="1"/>
  <c r="H237" i="1"/>
  <c r="H241" i="1" s="1"/>
  <c r="G237" i="1"/>
  <c r="F237" i="1"/>
  <c r="E237" i="1"/>
  <c r="E241" i="1" s="1"/>
  <c r="D230" i="1"/>
  <c r="H219" i="1"/>
  <c r="D219" i="1"/>
  <c r="H218" i="1"/>
  <c r="F218" i="1"/>
  <c r="G218" i="1" s="1"/>
  <c r="E218" i="1"/>
  <c r="H217" i="1"/>
  <c r="F217" i="1"/>
  <c r="F215" i="1" s="1"/>
  <c r="E217" i="1"/>
  <c r="E215" i="1" s="1"/>
  <c r="E219" i="1" s="1"/>
  <c r="H216" i="1"/>
  <c r="F216" i="1"/>
  <c r="E216" i="1"/>
  <c r="H215" i="1"/>
  <c r="H206" i="1"/>
  <c r="D206" i="1"/>
  <c r="H205" i="1"/>
  <c r="F205" i="1"/>
  <c r="G205" i="1" s="1"/>
  <c r="E205" i="1"/>
  <c r="H204" i="1"/>
  <c r="F204" i="1"/>
  <c r="E204" i="1"/>
  <c r="E202" i="1" s="1"/>
  <c r="E206" i="1" s="1"/>
  <c r="H203" i="1"/>
  <c r="F203" i="1"/>
  <c r="F202" i="1" s="1"/>
  <c r="E203" i="1"/>
  <c r="H202" i="1"/>
  <c r="E192" i="1"/>
  <c r="D192" i="1"/>
  <c r="I191" i="1"/>
  <c r="G191" i="1"/>
  <c r="H191" i="1" s="1"/>
  <c r="F191" i="1"/>
  <c r="I190" i="1"/>
  <c r="I192" i="1" s="1"/>
  <c r="G190" i="1"/>
  <c r="G192" i="1" s="1"/>
  <c r="F190" i="1"/>
  <c r="I189" i="1"/>
  <c r="G189" i="1"/>
  <c r="F189" i="1"/>
  <c r="F192" i="1" s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F164" i="1"/>
  <c r="E164" i="1"/>
  <c r="E163" i="1" s="1"/>
  <c r="E169" i="1" s="1"/>
  <c r="F163" i="1"/>
  <c r="G163" i="1" s="1"/>
  <c r="H162" i="1"/>
  <c r="G162" i="1"/>
  <c r="F162" i="1"/>
  <c r="E162" i="1"/>
  <c r="H161" i="1"/>
  <c r="H169" i="1" s="1"/>
  <c r="F161" i="1"/>
  <c r="E161" i="1"/>
  <c r="H160" i="1"/>
  <c r="F160" i="1"/>
  <c r="F169" i="1" s="1"/>
  <c r="G169" i="1" s="1"/>
  <c r="E160" i="1"/>
  <c r="I135" i="1"/>
  <c r="G135" i="1"/>
  <c r="H135" i="1" s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I126" i="1" s="1"/>
  <c r="G127" i="1"/>
  <c r="H127" i="1" s="1"/>
  <c r="F127" i="1"/>
  <c r="F126" i="1" s="1"/>
  <c r="F120" i="1" s="1"/>
  <c r="E126" i="1"/>
  <c r="D126" i="1"/>
  <c r="I125" i="1"/>
  <c r="F125" i="1"/>
  <c r="I124" i="1"/>
  <c r="H124" i="1"/>
  <c r="F124" i="1"/>
  <c r="I123" i="1"/>
  <c r="F123" i="1"/>
  <c r="I122" i="1"/>
  <c r="H122" i="1"/>
  <c r="F122" i="1"/>
  <c r="I121" i="1"/>
  <c r="I120" i="1" s="1"/>
  <c r="F121" i="1"/>
  <c r="E121" i="1"/>
  <c r="E120" i="1" s="1"/>
  <c r="D121" i="1"/>
  <c r="D120" i="1"/>
  <c r="I119" i="1"/>
  <c r="H119" i="1"/>
  <c r="F119" i="1"/>
  <c r="I118" i="1"/>
  <c r="H118" i="1"/>
  <c r="G118" i="1"/>
  <c r="F118" i="1"/>
  <c r="I117" i="1"/>
  <c r="G117" i="1"/>
  <c r="H117" i="1" s="1"/>
  <c r="F117" i="1"/>
  <c r="I116" i="1"/>
  <c r="I115" i="1" s="1"/>
  <c r="H116" i="1"/>
  <c r="H115" i="1" s="1"/>
  <c r="G116" i="1"/>
  <c r="F116" i="1"/>
  <c r="F115" i="1" s="1"/>
  <c r="F137" i="1" s="1"/>
  <c r="G115" i="1"/>
  <c r="E115" i="1"/>
  <c r="E137" i="1" s="1"/>
  <c r="D115" i="1"/>
  <c r="D137" i="1" s="1"/>
  <c r="C113" i="1"/>
  <c r="I93" i="1"/>
  <c r="G93" i="1"/>
  <c r="H93" i="1" s="1"/>
  <c r="F93" i="1"/>
  <c r="I92" i="1"/>
  <c r="H92" i="1"/>
  <c r="G92" i="1"/>
  <c r="F92" i="1"/>
  <c r="I91" i="1"/>
  <c r="G91" i="1"/>
  <c r="H91" i="1" s="1"/>
  <c r="F91" i="1"/>
  <c r="I90" i="1"/>
  <c r="H90" i="1"/>
  <c r="G90" i="1"/>
  <c r="F90" i="1"/>
  <c r="I89" i="1"/>
  <c r="G89" i="1"/>
  <c r="H89" i="1" s="1"/>
  <c r="F89" i="1"/>
  <c r="I88" i="1"/>
  <c r="H88" i="1"/>
  <c r="G88" i="1"/>
  <c r="F88" i="1"/>
  <c r="I87" i="1"/>
  <c r="G87" i="1"/>
  <c r="H87" i="1" s="1"/>
  <c r="F87" i="1"/>
  <c r="I86" i="1"/>
  <c r="H86" i="1"/>
  <c r="G86" i="1"/>
  <c r="F86" i="1"/>
  <c r="I85" i="1"/>
  <c r="G85" i="1"/>
  <c r="H85" i="1" s="1"/>
  <c r="F85" i="1"/>
  <c r="I84" i="1"/>
  <c r="H84" i="1"/>
  <c r="G84" i="1"/>
  <c r="F84" i="1"/>
  <c r="F83" i="1" s="1"/>
  <c r="F82" i="1" s="1"/>
  <c r="I83" i="1"/>
  <c r="I82" i="1" s="1"/>
  <c r="G83" i="1"/>
  <c r="E83" i="1"/>
  <c r="D83" i="1"/>
  <c r="D82" i="1" s="1"/>
  <c r="D94" i="1" s="1"/>
  <c r="G82" i="1"/>
  <c r="E82" i="1"/>
  <c r="I81" i="1"/>
  <c r="H81" i="1"/>
  <c r="G81" i="1"/>
  <c r="F81" i="1"/>
  <c r="I80" i="1"/>
  <c r="I79" i="1" s="1"/>
  <c r="I94" i="1" s="1"/>
  <c r="G80" i="1"/>
  <c r="G79" i="1" s="1"/>
  <c r="G94" i="1" s="1"/>
  <c r="F80" i="1"/>
  <c r="F79" i="1"/>
  <c r="F94" i="1" s="1"/>
  <c r="E79" i="1"/>
  <c r="E94" i="1" s="1"/>
  <c r="D79" i="1"/>
  <c r="C76" i="1"/>
  <c r="H72" i="1"/>
  <c r="F72" i="1"/>
  <c r="D72" i="1"/>
  <c r="H58" i="1"/>
  <c r="H57" i="1"/>
  <c r="I52" i="1"/>
  <c r="I31" i="1" s="1"/>
  <c r="G52" i="1"/>
  <c r="H52" i="1" s="1"/>
  <c r="F52" i="1"/>
  <c r="F31" i="1" s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G35" i="1"/>
  <c r="F35" i="1"/>
  <c r="I33" i="1"/>
  <c r="F34" i="1"/>
  <c r="F33" i="1" s="1"/>
  <c r="E33" i="1"/>
  <c r="D33" i="1"/>
  <c r="D25" i="1" s="1"/>
  <c r="I32" i="1"/>
  <c r="G32" i="1"/>
  <c r="H32" i="1" s="1"/>
  <c r="F32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E26" i="1"/>
  <c r="D26" i="1"/>
  <c r="E25" i="1"/>
  <c r="I24" i="1"/>
  <c r="H24" i="1"/>
  <c r="G24" i="1"/>
  <c r="F24" i="1"/>
  <c r="I23" i="1"/>
  <c r="I22" i="1" s="1"/>
  <c r="G23" i="1"/>
  <c r="G22" i="1" s="1"/>
  <c r="F23" i="1"/>
  <c r="F22" i="1"/>
  <c r="E22" i="1"/>
  <c r="E42" i="1" s="1"/>
  <c r="D22" i="1"/>
  <c r="D42" i="1" s="1"/>
  <c r="H16" i="1"/>
  <c r="F16" i="1"/>
  <c r="D16" i="1"/>
  <c r="G33" i="1" l="1"/>
  <c r="H33" i="1" s="1"/>
  <c r="H35" i="1"/>
  <c r="H121" i="1"/>
  <c r="I26" i="1"/>
  <c r="I25" i="1" s="1"/>
  <c r="I42" i="1" s="1"/>
  <c r="G31" i="1"/>
  <c r="H31" i="1" s="1"/>
  <c r="H26" i="1" s="1"/>
  <c r="F26" i="1"/>
  <c r="F25" i="1" s="1"/>
  <c r="F42" i="1" s="1"/>
  <c r="F304" i="1"/>
  <c r="G304" i="1" s="1"/>
  <c r="G294" i="1"/>
  <c r="F206" i="1"/>
  <c r="G202" i="1"/>
  <c r="H304" i="1"/>
  <c r="G206" i="1"/>
  <c r="H83" i="1"/>
  <c r="H82" i="1" s="1"/>
  <c r="I137" i="1"/>
  <c r="G273" i="1"/>
  <c r="H126" i="1"/>
  <c r="H120" i="1" s="1"/>
  <c r="H137" i="1" s="1"/>
  <c r="G215" i="1"/>
  <c r="F219" i="1"/>
  <c r="G219" i="1" s="1"/>
  <c r="E304" i="1"/>
  <c r="G126" i="1"/>
  <c r="H265" i="1"/>
  <c r="H262" i="1" s="1"/>
  <c r="H273" i="1" s="1"/>
  <c r="G323" i="1"/>
  <c r="G324" i="1" s="1"/>
  <c r="H23" i="1"/>
  <c r="H22" i="1" s="1"/>
  <c r="H80" i="1"/>
  <c r="H79" i="1" s="1"/>
  <c r="G121" i="1"/>
  <c r="F241" i="1"/>
  <c r="G241" i="1" s="1"/>
  <c r="H34" i="1"/>
  <c r="G160" i="1"/>
  <c r="H25" i="1" l="1"/>
  <c r="H42" i="1" s="1"/>
  <c r="G26" i="1"/>
  <c r="G25" i="1" s="1"/>
  <c r="G42" i="1" s="1"/>
  <c r="G120" i="1"/>
  <c r="G137" i="1" s="1"/>
  <c r="H94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<sst xmlns="http://schemas.openxmlformats.org/spreadsheetml/2006/main" count="393" uniqueCount="167">
  <si>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</si>
  <si>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</si>
  <si>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</si>
  <si>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</si>
  <si>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</si>
  <si>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</si>
  <si>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</si>
  <si>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</si>
  <si>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</si>
  <si>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</si>
  <si>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</si>
  <si>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</si>
  <si>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</si>
  <si>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</si>
  <si>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</si>
  <si>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</si>
  <si>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</si>
  <si>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</si>
  <si>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</si>
  <si>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</si>
  <si>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</si>
  <si>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</si>
  <si>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</si>
  <si>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</si>
  <si>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</si>
  <si>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</si>
  <si>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</si>
  <si>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</si>
  <si>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</si>
  <si>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</si>
  <si>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</si>
  <si>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</si>
  <si>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</si>
  <si>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</si>
  <si>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</si>
  <si>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</si>
  <si>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</si>
  <si>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</si>
  <si>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</si>
  <si>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</si>
  <si>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</si>
  <si>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</si>
  <si>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</si>
  <si>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</si>
  <si>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</si>
  <si>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</si>
  <si>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</si>
  <si>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</si>
  <si>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</si>
  <si>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</si>
  <si>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</si>
  <si>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</si>
  <si>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</si>
  <si>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</si>
  <si>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</si>
  <si>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</si>
  <si>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</si>
  <si>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</si>
  <si>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</si>
  <si>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</si>
  <si>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</si>
  <si>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</si>
  <si>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</si>
  <si>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</si>
  <si>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</si>
  <si>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</si>
  <si>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</si>
  <si>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</si>
  <si>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</si>
  <si>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</si>
  <si>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</si>
  <si>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</si>
  <si>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</si>
  <si>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</si>
  <si>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</si>
  <si>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</si>
  <si>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</si>
  <si>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</si>
  <si>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</si>
  <si>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</si>
  <si>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</si>
  <si>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</si>
  <si>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</si>
  <si>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</si>
  <si>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</si>
  <si>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</si>
  <si>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</si>
  <si>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</si>
  <si>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</si>
  <si>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</si>
  <si>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</si>
  <si>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</si>
  <si>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</si>
  <si>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</si>
  <si>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</si>
  <si>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</si>
  <si>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</si>
  <si>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</si>
  <si>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</si>
  <si>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</si>
  <si>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</si>
  <si>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</si>
  <si>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</si>
  <si>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</si>
  <si>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</si>
  <si>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</si>
  <si>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</si>
  <si>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</si>
  <si>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</si>
  <si>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</si>
  <si>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</si>
  <si>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</si>
  <si>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</si>
  <si>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</si>
  <si>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</si>
  <si>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</si>
  <si>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</si>
  <si>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</si>
  <si>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</si>
  <si>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</si>
  <si>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</si>
  <si>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</si>
  <si>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</si>
  <si>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</si>
  <si>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</si>
  <si>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</si>
  <si>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</si>
  <si>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</si>
  <si>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</si>
  <si>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</si>
  <si>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</si>
  <si>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</si>
  <si>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</si>
  <si>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</si>
  <si>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</si>
  <si>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</si>
  <si>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</si>
  <si>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</si>
  <si>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</si>
  <si>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</si>
  <si>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</si>
  <si>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</si>
  <si>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</si>
  <si>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</si>
  <si>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</si>
  <si>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</si>
  <si>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</si>
  <si>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</si>
  <si>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</si>
  <si>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</si>
  <si>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</si>
  <si>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</si>
  <si>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</si>
  <si>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</si>
  <si>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</si>
  <si>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</si>
  <si>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</si>
  <si>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</si>
  <si>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</si>
  <si>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50 tonn, men det legges til grunn at hele avsetningen tas</t>
  </si>
  <si>
    <t>4 Registrert rekreasjonsfiske utgjør 370 tonn, men det legges til grunn at hele avsetningen tas</t>
  </si>
  <si>
    <t>3 Registrert rekreasjonsfiske utgjør 734 tonn, men det legges til grunn at hele avsetningen tas</t>
  </si>
  <si>
    <t>FANGST UKE 36</t>
  </si>
  <si>
    <t>FANGST T.O.M UKE 36</t>
  </si>
  <si>
    <t>RESTKVOTER UKE 36</t>
  </si>
  <si>
    <t>FANGST T.O.M UKE 36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</si>
  <si>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2 658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</si>
</sst>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51" zoomScale="112" zoomScaleNormal="55" zoomScaleSheetLayoutView="100" zoomScalePageLayoutView="85" workbookViewId="0">
      <selection activeCell="H52" sqref="H52:H56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27" t="s">
        <v>120</v>
      </c>
      <c r="C2" s="328"/>
      <c r="D2" s="328"/>
      <c r="E2" s="328"/>
      <c r="F2" s="328"/>
      <c r="G2" s="328"/>
      <c r="H2" s="328"/>
      <c r="I2" s="328"/>
      <c r="J2" s="329"/>
    </row>
    <row r="3" spans="1:10" ht="14.9" customHeight="1" x14ac:dyDescent="0.3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0"/>
      <c r="C9" s="331"/>
      <c r="D9" s="331"/>
      <c r="E9" s="331"/>
      <c r="F9" s="331"/>
      <c r="G9" s="331"/>
      <c r="H9" s="331"/>
      <c r="I9" s="331"/>
      <c r="J9" s="332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4" t="s">
        <v>1</v>
      </c>
      <c r="D11" s="325"/>
      <c r="E11" s="324" t="s">
        <v>2</v>
      </c>
      <c r="F11" s="325"/>
      <c r="G11" s="324" t="s">
        <v>3</v>
      </c>
      <c r="H11" s="325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17" t="s">
        <v>140</v>
      </c>
      <c r="D17" s="317"/>
      <c r="E17" s="317"/>
      <c r="F17" s="317"/>
      <c r="G17" s="317"/>
      <c r="H17" s="317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282.66750000000002</v>
      </c>
      <c r="G22" s="27">
        <f t="shared" si="0"/>
        <v>22514.459199999998</v>
      </c>
      <c r="H22" s="10">
        <f t="shared" si="0"/>
        <v>19071.540800000002</v>
      </c>
      <c r="I22" s="10">
        <f t="shared" si="0"/>
        <v>38727.8099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40823</v>
      </c>
      <c r="F23" s="22">
        <f>282.2565</f>
        <v>282.25650000000002</v>
      </c>
      <c r="G23" s="22">
        <f>22143.34855</f>
        <v>22143.348549999999</v>
      </c>
      <c r="H23" s="22">
        <f>E23-G23</f>
        <v>18679.651450000001</v>
      </c>
      <c r="I23" s="22">
        <f>38201.52782</f>
        <v>38201.527820000003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763</v>
      </c>
      <c r="F24" s="165">
        <f>0.411</f>
        <v>0.41099999999999998</v>
      </c>
      <c r="G24" s="22">
        <f>371.11065</f>
        <v>371.11065000000002</v>
      </c>
      <c r="H24" s="22">
        <f>E24-G24</f>
        <v>391.88934999999998</v>
      </c>
      <c r="I24" s="22">
        <f>526.28208</f>
        <v>526.28207999999995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387.42084</v>
      </c>
      <c r="G25" s="10">
        <f t="shared" si="1"/>
        <v>104954.48363999999</v>
      </c>
      <c r="H25" s="10">
        <f t="shared" si="1"/>
        <v>16713.516360000001</v>
      </c>
      <c r="I25" s="10">
        <f t="shared" si="1"/>
        <v>124261.60786999998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329.11531000000002</v>
      </c>
      <c r="G26" s="129">
        <f>G27+G28+G29+G30+G31</f>
        <v>84191.509579999998</v>
      </c>
      <c r="H26" s="129">
        <f t="shared" ref="H26:I26" si="2">H27+H28+H29+H30+H31</f>
        <v>10701.490420000002</v>
      </c>
      <c r="I26" s="129">
        <f t="shared" si="2"/>
        <v>101241.08463999999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62.79531 - F53</f>
        <v>19.795310000000001</v>
      </c>
      <c r="G27" s="123">
        <f>23049.52973 - G53</f>
        <v>22670.529729999998</v>
      </c>
      <c r="H27" s="123">
        <f t="shared" ref="H27:H39" si="3">E27-G27</f>
        <v>2482.4702700000016</v>
      </c>
      <c r="I27" s="123">
        <f>26362.89737 - I53</f>
        <v>25750.897369999999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173.20756 - F54</f>
        <v>98.207560000000001</v>
      </c>
      <c r="G28" s="123">
        <f>23104.44446 - G54</f>
        <v>22425.444459999999</v>
      </c>
      <c r="H28" s="123">
        <f t="shared" si="3"/>
        <v>1568.5555400000012</v>
      </c>
      <c r="I28" s="123">
        <f>28390.74735 - I54</f>
        <v>27442.747350000001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77.84264 - F55</f>
        <v>27.842640000000003</v>
      </c>
      <c r="G29" s="123">
        <f>22001.29403 - G55</f>
        <v>21100.294030000001</v>
      </c>
      <c r="H29" s="123">
        <f t="shared" si="3"/>
        <v>769.70596999999907</v>
      </c>
      <c r="I29" s="123">
        <f>26728.85741 - I55</f>
        <v>25544.857410000001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15.2698 - F56</f>
        <v>5.2698</v>
      </c>
      <c r="G30" s="123">
        <f>16036.24136 - G56</f>
        <v>15421.24136</v>
      </c>
      <c r="H30" s="123">
        <f t="shared" si="3"/>
        <v>223.75864000000001</v>
      </c>
      <c r="I30" s="123">
        <f>19758.58251 - I56</f>
        <v>18841.58251</v>
      </c>
      <c r="J30" s="63"/>
    </row>
    <row r="31" spans="1:10" ht="14.15" customHeight="1" x14ac:dyDescent="0.3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178</v>
      </c>
      <c r="G31" s="123">
        <f>G52</f>
        <v>2574</v>
      </c>
      <c r="H31" s="123">
        <f>E31-G31</f>
        <v>5657</v>
      </c>
      <c r="I31" s="123">
        <f>I52</f>
        <v>3661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12692</v>
      </c>
      <c r="E32" s="55">
        <v>13679</v>
      </c>
      <c r="F32" s="129">
        <f>1.96223</f>
        <v>1.9622299999999999</v>
      </c>
      <c r="G32" s="129">
        <f>9416.17946</f>
        <v>9416.1794599999994</v>
      </c>
      <c r="H32" s="129">
        <f t="shared" si="3"/>
        <v>4262.8205400000006</v>
      </c>
      <c r="I32" s="129">
        <f>10994.62153</f>
        <v>10994.62153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10834</v>
      </c>
      <c r="E33" s="55">
        <f>E34+E35</f>
        <v>13096</v>
      </c>
      <c r="F33" s="129">
        <f>F34+F35</f>
        <v>56.343299999999999</v>
      </c>
      <c r="G33" s="129">
        <f>G34+G35</f>
        <v>11346.794599999999</v>
      </c>
      <c r="H33" s="129">
        <f>E33-G33</f>
        <v>1749.2054000000007</v>
      </c>
      <c r="I33" s="129">
        <f>I34+I35</f>
        <v>12025.9017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9874</v>
      </c>
      <c r="E34" s="61">
        <v>12136</v>
      </c>
      <c r="F34" s="123">
        <f>78.3433 - F57 - F58</f>
        <v>7.3432999999999993</v>
      </c>
      <c r="G34" s="129">
        <f>13414.7946 - G57 - G58</f>
        <v>11010.794599999999</v>
      </c>
      <c r="H34" s="123">
        <f t="shared" si="3"/>
        <v>1125.2054000000007</v>
      </c>
      <c r="I34" s="123">
        <f>14839.9017 - I57 - I58</f>
        <v>11629.9017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49</v>
      </c>
      <c r="G35" s="67">
        <f>G57</f>
        <v>336</v>
      </c>
      <c r="H35" s="67">
        <f t="shared" si="3"/>
        <v>624</v>
      </c>
      <c r="I35" s="67">
        <f>I57</f>
        <v>396</v>
      </c>
      <c r="J35" s="63"/>
    </row>
    <row r="36" spans="1:10" ht="15.75" customHeight="1" x14ac:dyDescent="0.3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33</v>
      </c>
      <c r="D37" s="140">
        <v>855</v>
      </c>
      <c r="E37" s="140">
        <v>855</v>
      </c>
      <c r="F37" s="95">
        <f>0.5</f>
        <v>0.5</v>
      </c>
      <c r="G37" s="95">
        <f>573.57131</f>
        <v>573.57131000000004</v>
      </c>
      <c r="H37" s="95">
        <f t="shared" si="3"/>
        <v>281.42868999999996</v>
      </c>
      <c r="I37" s="95">
        <f>472.67923</f>
        <v>472.67923000000002</v>
      </c>
      <c r="J37" s="267"/>
    </row>
    <row r="38" spans="1:10" ht="17.25" customHeight="1" x14ac:dyDescent="0.3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22</v>
      </c>
      <c r="G38" s="95">
        <f>G58</f>
        <v>2068</v>
      </c>
      <c r="H38" s="95">
        <f t="shared" si="3"/>
        <v>932</v>
      </c>
      <c r="I38" s="95">
        <f>I58</f>
        <v>2814</v>
      </c>
      <c r="J38" s="267"/>
    </row>
    <row r="39" spans="1:10" ht="17.25" customHeight="1" x14ac:dyDescent="0.35">
      <c r="A39" s="1"/>
      <c r="B39" s="277"/>
      <c r="C39" s="70" t="s">
        <v>35</v>
      </c>
      <c r="D39" s="140">
        <v>7000</v>
      </c>
      <c r="E39" s="140">
        <v>7000</v>
      </c>
      <c r="F39" s="95">
        <f>4.47352</f>
        <v>4.4735199999999997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37</v>
      </c>
      <c r="D40" s="140">
        <v>450</v>
      </c>
      <c r="E40" s="140">
        <v>450</v>
      </c>
      <c r="F40" s="95">
        <f>1.0281</f>
        <v>1.0281</v>
      </c>
      <c r="G40" s="95">
        <f>383.27434</f>
        <v>383.27434</v>
      </c>
      <c r="H40" s="95">
        <f>E40-G40</f>
        <v>66.725660000000005</v>
      </c>
      <c r="I40" s="95">
        <f>336.95886</f>
        <v>336.95886000000002</v>
      </c>
      <c r="J40" s="267"/>
    </row>
    <row r="41" spans="1:10" ht="14.15" customHeight="1" x14ac:dyDescent="0.35">
      <c r="A41" s="1"/>
      <c r="B41" s="277"/>
      <c r="C41" s="70" t="s">
        <v>38</v>
      </c>
      <c r="D41" s="140"/>
      <c r="E41" s="136"/>
      <c r="F41" s="136">
        <f>0.003</f>
        <v>3.0000000000000001E-3</v>
      </c>
      <c r="G41" s="136">
        <f>101.50363</f>
        <v>101.50363</v>
      </c>
      <c r="H41" s="136">
        <f t="shared" ref="H41" si="4">E41-G41</f>
        <v>-101.50363</v>
      </c>
      <c r="I41" s="136">
        <f>85.52126</f>
        <v>85.521259999999998</v>
      </c>
      <c r="J41" s="267"/>
    </row>
    <row r="42" spans="1:10" ht="16.5" customHeight="1" x14ac:dyDescent="0.3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698.09296000000006</v>
      </c>
      <c r="G42" s="73">
        <f t="shared" si="5"/>
        <v>137875.54851999998</v>
      </c>
      <c r="H42" s="73">
        <f t="shared" si="5"/>
        <v>37683.451480000003</v>
      </c>
      <c r="I42" s="73">
        <f t="shared" si="5"/>
        <v>174046.93832000002</v>
      </c>
      <c r="J42" s="267"/>
    </row>
    <row r="43" spans="1:10" ht="14.15" customHeight="1" x14ac:dyDescent="0.3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0" t="s">
        <v>158</v>
      </c>
      <c r="D49" s="320"/>
      <c r="E49" s="320"/>
      <c r="F49" s="320"/>
      <c r="G49" s="320"/>
      <c r="H49" s="320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5" customHeight="1" x14ac:dyDescent="0.35">
      <c r="A52" s="101"/>
      <c r="B52" s="24"/>
      <c r="C52" s="15" t="s">
        <v>42</v>
      </c>
      <c r="D52" s="321">
        <v>7872</v>
      </c>
      <c r="E52" s="321">
        <v>8231</v>
      </c>
      <c r="F52" s="10">
        <f>F56+F55+F54+F53</f>
        <v>178</v>
      </c>
      <c r="G52" s="10">
        <f>G56+G55+G54+G53</f>
        <v>2574</v>
      </c>
      <c r="H52" s="321">
        <f>E52-G52</f>
        <v>5657</v>
      </c>
      <c r="I52" s="10">
        <f>I56+I55+I54+I53</f>
        <v>3661</v>
      </c>
      <c r="J52" s="117"/>
    </row>
    <row r="53" spans="1:10" ht="14.15" customHeight="1" x14ac:dyDescent="0.35">
      <c r="A53" s="101"/>
      <c r="B53" s="24"/>
      <c r="C53" s="60" t="s">
        <v>24</v>
      </c>
      <c r="D53" s="322"/>
      <c r="E53" s="322"/>
      <c r="F53" s="123">
        <v>43</v>
      </c>
      <c r="G53" s="123">
        <v>379</v>
      </c>
      <c r="H53" s="322"/>
      <c r="I53" s="123">
        <v>612</v>
      </c>
      <c r="J53" s="117"/>
    </row>
    <row r="54" spans="1:10" ht="14.15" customHeight="1" x14ac:dyDescent="0.35">
      <c r="A54" s="101"/>
      <c r="B54" s="24"/>
      <c r="C54" s="60" t="s">
        <v>25</v>
      </c>
      <c r="D54" s="322"/>
      <c r="E54" s="322"/>
      <c r="F54" s="123">
        <v>75</v>
      </c>
      <c r="G54" s="123">
        <v>679</v>
      </c>
      <c r="H54" s="322"/>
      <c r="I54" s="123">
        <v>948</v>
      </c>
      <c r="J54" s="267"/>
    </row>
    <row r="55" spans="1:10" ht="14.15" customHeight="1" x14ac:dyDescent="0.35">
      <c r="A55" s="101"/>
      <c r="B55" s="24"/>
      <c r="C55" s="60" t="s">
        <v>26</v>
      </c>
      <c r="D55" s="322"/>
      <c r="E55" s="322"/>
      <c r="F55" s="123">
        <v>50</v>
      </c>
      <c r="G55" s="123">
        <v>901</v>
      </c>
      <c r="H55" s="322"/>
      <c r="I55" s="123">
        <v>1184</v>
      </c>
      <c r="J55" s="117"/>
    </row>
    <row r="56" spans="1:10" ht="14.15" customHeight="1" x14ac:dyDescent="0.35">
      <c r="A56" s="101"/>
      <c r="B56" s="24"/>
      <c r="C56" s="84" t="s">
        <v>27</v>
      </c>
      <c r="D56" s="323"/>
      <c r="E56" s="323"/>
      <c r="F56" s="186">
        <v>10</v>
      </c>
      <c r="G56" s="186">
        <v>615</v>
      </c>
      <c r="H56" s="323"/>
      <c r="I56" s="186">
        <v>917</v>
      </c>
      <c r="J56" s="117"/>
    </row>
    <row r="57" spans="1:10" ht="14.15" customHeight="1" x14ac:dyDescent="0.35">
      <c r="A57" s="101"/>
      <c r="B57" s="24"/>
      <c r="C57" s="85" t="s">
        <v>43</v>
      </c>
      <c r="D57" s="92">
        <v>960</v>
      </c>
      <c r="E57" s="92">
        <v>960</v>
      </c>
      <c r="F57" s="92">
        <v>49</v>
      </c>
      <c r="G57" s="92">
        <v>336</v>
      </c>
      <c r="H57" s="92">
        <f>E57-G57</f>
        <v>624</v>
      </c>
      <c r="I57" s="92">
        <v>396</v>
      </c>
      <c r="J57" s="267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22</v>
      </c>
      <c r="G58" s="136">
        <v>2068</v>
      </c>
      <c r="H58" s="136">
        <f>E58-G58</f>
        <v>932</v>
      </c>
      <c r="I58" s="136">
        <v>2814</v>
      </c>
      <c r="J58" s="117"/>
    </row>
    <row r="59" spans="1:10" ht="14.15" customHeight="1" x14ac:dyDescent="0.3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4" t="s">
        <v>1</v>
      </c>
      <c r="D68" s="325"/>
      <c r="E68" s="324" t="s">
        <v>2</v>
      </c>
      <c r="F68" s="326"/>
      <c r="G68" s="324" t="s">
        <v>3</v>
      </c>
      <c r="H68" s="325"/>
      <c r="I68" s="173"/>
      <c r="J68" s="267"/>
    </row>
    <row r="69" spans="1:10" ht="15" customHeight="1" x14ac:dyDescent="0.3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134.68279999999999</v>
      </c>
      <c r="G79" s="10">
        <f t="shared" si="6"/>
        <v>20213.94197</v>
      </c>
      <c r="H79" s="10">
        <f t="shared" si="6"/>
        <v>5927.0580300000011</v>
      </c>
      <c r="I79" s="10">
        <f t="shared" si="6"/>
        <v>23396.461569999999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25316</v>
      </c>
      <c r="F80" s="22">
        <f>132.7858</f>
        <v>132.78579999999999</v>
      </c>
      <c r="G80" s="22">
        <f>19774.88195</f>
        <v>19774.881949999999</v>
      </c>
      <c r="H80" s="22">
        <f>E80-G80</f>
        <v>5541.1180500000009</v>
      </c>
      <c r="I80" s="22">
        <f>22604.65412</f>
        <v>22604.654119999999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1.897</f>
        <v>1.897</v>
      </c>
      <c r="G81" s="48">
        <f>439.06002</f>
        <v>439.06002000000001</v>
      </c>
      <c r="H81" s="48">
        <f>E81-G81</f>
        <v>385.93997999999999</v>
      </c>
      <c r="I81" s="48">
        <f>791.80745</f>
        <v>791.80745000000002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378.24203</v>
      </c>
      <c r="G82" s="10">
        <f t="shared" si="7"/>
        <v>31952.432099999998</v>
      </c>
      <c r="H82" s="10">
        <f t="shared" si="7"/>
        <v>12176.567900000002</v>
      </c>
      <c r="I82" s="10">
        <f t="shared" si="7"/>
        <v>39025.445050000002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300.86047000000002</v>
      </c>
      <c r="G83" s="129">
        <f t="shared" si="8"/>
        <v>25644.168379999999</v>
      </c>
      <c r="H83" s="129">
        <f t="shared" si="8"/>
        <v>6860.8316200000008</v>
      </c>
      <c r="I83" s="129">
        <f t="shared" si="8"/>
        <v>31529.020600000003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96.77221</f>
        <v>96.772210000000001</v>
      </c>
      <c r="G84" s="123">
        <f>3340.3657</f>
        <v>3340.3656999999998</v>
      </c>
      <c r="H84" s="123">
        <f t="shared" ref="H84:H91" si="9">E84-G84</f>
        <v>5663.6342999999997</v>
      </c>
      <c r="I84" s="123">
        <f>4767.56126</f>
        <v>4767.5612600000004</v>
      </c>
      <c r="J84" s="267"/>
    </row>
    <row r="85" spans="1:10" ht="14.15" customHeight="1" x14ac:dyDescent="0.35">
      <c r="A85" s="192"/>
      <c r="B85" s="176"/>
      <c r="C85" s="60" t="s">
        <v>48</v>
      </c>
      <c r="D85" s="61">
        <v>8674</v>
      </c>
      <c r="E85" s="61">
        <v>9075</v>
      </c>
      <c r="F85" s="123">
        <f>118.83653</f>
        <v>118.83653</v>
      </c>
      <c r="G85" s="123">
        <f>6756.62965</f>
        <v>6756.6296499999999</v>
      </c>
      <c r="H85" s="123">
        <f t="shared" si="9"/>
        <v>2318.3703500000001</v>
      </c>
      <c r="I85" s="123">
        <f>10319.76741</f>
        <v>10319.76741</v>
      </c>
      <c r="J85" s="267"/>
    </row>
    <row r="86" spans="1:10" ht="14.15" customHeight="1" x14ac:dyDescent="0.35">
      <c r="A86" s="192"/>
      <c r="B86" s="176"/>
      <c r="C86" s="60" t="s">
        <v>49</v>
      </c>
      <c r="D86" s="61">
        <v>8266</v>
      </c>
      <c r="E86" s="61">
        <v>8649</v>
      </c>
      <c r="F86" s="123">
        <f>69.44067</f>
        <v>69.440669999999997</v>
      </c>
      <c r="G86" s="123">
        <f>8012.82195</f>
        <v>8012.8219499999996</v>
      </c>
      <c r="H86" s="123">
        <f t="shared" si="9"/>
        <v>636.17805000000044</v>
      </c>
      <c r="I86" s="123">
        <f>9741.13134</f>
        <v>9741.1313399999999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15.81106</f>
        <v>15.811059999999999</v>
      </c>
      <c r="G87" s="123">
        <f>7534.35108</f>
        <v>7534.3510800000004</v>
      </c>
      <c r="H87" s="123">
        <f t="shared" si="9"/>
        <v>-1757.3510800000004</v>
      </c>
      <c r="I87" s="123">
        <f>6700.56059</f>
        <v>6700.56059</v>
      </c>
      <c r="J87" s="267"/>
    </row>
    <row r="88" spans="1:10" ht="14.15" customHeight="1" x14ac:dyDescent="0.35">
      <c r="A88" s="192"/>
      <c r="B88" s="176"/>
      <c r="C88" s="54" t="s">
        <v>50</v>
      </c>
      <c r="D88" s="55">
        <v>7333</v>
      </c>
      <c r="E88" s="55">
        <v>8117</v>
      </c>
      <c r="F88" s="129">
        <f>2.34322</f>
        <v>2.3432200000000001</v>
      </c>
      <c r="G88" s="129">
        <f>4813.99878</f>
        <v>4813.9987799999999</v>
      </c>
      <c r="H88" s="129">
        <f t="shared" si="9"/>
        <v>3303.0012200000001</v>
      </c>
      <c r="I88" s="129">
        <f>5376.05461</f>
        <v>5376.0546100000001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75.03834</f>
        <v>75.038340000000005</v>
      </c>
      <c r="G89" s="72">
        <f>1494.26494</f>
        <v>1494.26494</v>
      </c>
      <c r="H89" s="72">
        <f t="shared" si="9"/>
        <v>2012.73506</v>
      </c>
      <c r="I89" s="72">
        <f>2120.36984</f>
        <v>2120.3698399999998</v>
      </c>
      <c r="J89" s="267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0.01368</f>
        <v>1.3679999999999999E-2</v>
      </c>
      <c r="G90" s="95">
        <f>37.08315</f>
        <v>37.083150000000003</v>
      </c>
      <c r="H90" s="95">
        <f t="shared" si="9"/>
        <v>281.91685000000001</v>
      </c>
      <c r="I90" s="95">
        <f>36.10176</f>
        <v>36.101759999999999</v>
      </c>
      <c r="J90" s="267"/>
    </row>
    <row r="91" spans="1:10" ht="18" customHeight="1" x14ac:dyDescent="0.35">
      <c r="A91" s="1"/>
      <c r="B91" s="277"/>
      <c r="C91" s="70" t="s">
        <v>51</v>
      </c>
      <c r="D91" s="140">
        <v>300</v>
      </c>
      <c r="E91" s="140">
        <v>300</v>
      </c>
      <c r="F91" s="136">
        <f>0.20238</f>
        <v>0.20238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37</v>
      </c>
      <c r="D92" s="140">
        <v>50</v>
      </c>
      <c r="E92" s="140">
        <v>50</v>
      </c>
      <c r="F92" s="95">
        <f>0.045</f>
        <v>4.4999999999999998E-2</v>
      </c>
      <c r="G92" s="95">
        <f>12.70886</f>
        <v>12.70886</v>
      </c>
      <c r="H92" s="136">
        <f>E92-G92</f>
        <v>37.291139999999999</v>
      </c>
      <c r="I92" s="95">
        <f>25.18984</f>
        <v>25.18984</v>
      </c>
      <c r="J92" s="267"/>
    </row>
    <row r="93" spans="1:10" ht="18" customHeight="1" x14ac:dyDescent="0.35">
      <c r="A93" s="1"/>
      <c r="B93" s="277"/>
      <c r="C93" s="89" t="s">
        <v>52</v>
      </c>
      <c r="D93" s="140"/>
      <c r="E93" s="136"/>
      <c r="F93" s="136">
        <f>0</f>
        <v>0</v>
      </c>
      <c r="G93" s="136">
        <f>12.56132</f>
        <v>12.56132</v>
      </c>
      <c r="H93" s="136">
        <f t="shared" ref="H93" si="10">E93-G93</f>
        <v>-12.56132</v>
      </c>
      <c r="I93" s="136">
        <f>16.09444</f>
        <v>16.094439999999999</v>
      </c>
      <c r="J93" s="267"/>
    </row>
    <row r="94" spans="1:10" ht="16.5" customHeight="1" x14ac:dyDescent="0.3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513.18588999999986</v>
      </c>
      <c r="G94" s="73">
        <f t="shared" si="12"/>
        <v>52528.727399999996</v>
      </c>
      <c r="H94" s="73">
        <f t="shared" si="12"/>
        <v>18410.272600000004</v>
      </c>
      <c r="I94" s="73">
        <f t="shared" si="12"/>
        <v>62799.292659999999</v>
      </c>
      <c r="J94" s="267"/>
    </row>
    <row r="95" spans="1:10" ht="13.5" customHeight="1" x14ac:dyDescent="0.3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3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5" customHeight="1" x14ac:dyDescent="0.3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805.34686999999997</v>
      </c>
      <c r="G115" s="10">
        <f t="shared" si="13"/>
        <v>35667.404730000002</v>
      </c>
      <c r="H115" s="10">
        <f t="shared" si="13"/>
        <v>35347.595269999998</v>
      </c>
      <c r="I115" s="10">
        <f t="shared" si="13"/>
        <v>44031.711970000004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56450</v>
      </c>
      <c r="F116" s="22">
        <f>563.90342</f>
        <v>563.90341999999998</v>
      </c>
      <c r="G116" s="22">
        <f>31836.26654</f>
        <v>31836.266540000001</v>
      </c>
      <c r="H116" s="22">
        <f>E116-G116</f>
        <v>24613.733459999999</v>
      </c>
      <c r="I116" s="22">
        <f>38596.60917</f>
        <v>38596.609170000003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14065</v>
      </c>
      <c r="F117" s="22">
        <f>241.44345</f>
        <v>241.44345000000001</v>
      </c>
      <c r="G117" s="22">
        <f>3765.78059</f>
        <v>3765.7805899999998</v>
      </c>
      <c r="H117" s="22">
        <f>E117-G117</f>
        <v>10299.21941</v>
      </c>
      <c r="I117" s="22">
        <f>5369.37565</f>
        <v>5369.37565</v>
      </c>
      <c r="J117" s="267"/>
    </row>
    <row r="118" spans="1:10" ht="13.5" customHeight="1" x14ac:dyDescent="0.3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65.72715</f>
        <v>65.727149999999995</v>
      </c>
      <c r="J118" s="267"/>
    </row>
    <row r="119" spans="1:10" ht="14.25" customHeight="1" x14ac:dyDescent="0.35">
      <c r="A119" s="65"/>
      <c r="B119" s="75"/>
      <c r="C119" s="85" t="s">
        <v>61</v>
      </c>
      <c r="D119" s="87">
        <v>43775</v>
      </c>
      <c r="E119" s="87">
        <v>51430</v>
      </c>
      <c r="F119" s="92">
        <f>718.856</f>
        <v>718.85599999999999</v>
      </c>
      <c r="G119" s="92">
        <f>28818.2723+2657.8529</f>
        <v>31476.125200000002</v>
      </c>
      <c r="H119" s="92">
        <f>E119-G119</f>
        <v>19953.874799999998</v>
      </c>
      <c r="I119" s="92">
        <f>15137.2008</f>
        <v>15137.200800000001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1028.8971999999999</v>
      </c>
      <c r="G120" s="91">
        <f t="shared" ref="G120" si="14">G121+G126+G129</f>
        <v>40969.646400000005</v>
      </c>
      <c r="H120" s="91">
        <f>H121+H126+H129</f>
        <v>34075.353600000002</v>
      </c>
      <c r="I120" s="91">
        <f>I121+I126+I129</f>
        <v>58791.051729999992</v>
      </c>
      <c r="J120" s="117"/>
    </row>
    <row r="121" spans="1:10" ht="14.15" customHeight="1" x14ac:dyDescent="0.3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584.95426999999995</v>
      </c>
      <c r="G121" s="121">
        <f>G122+G123+G125+G124</f>
        <v>30193.510050000001</v>
      </c>
      <c r="H121" s="121">
        <f>H122+H123+H124+H125</f>
        <v>26165.489950000003</v>
      </c>
      <c r="I121" s="121">
        <f>I122+I123+I124+I125</f>
        <v>44654.712629999995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16016</v>
      </c>
      <c r="F122" s="123">
        <f>178.49257</f>
        <v>178.49257</v>
      </c>
      <c r="G122" s="123">
        <f>7319.41626</f>
        <v>7319.41626</v>
      </c>
      <c r="H122" s="123">
        <f>E122-G122</f>
        <v>8696.58374</v>
      </c>
      <c r="I122" s="123">
        <f>8686.83319</f>
        <v>8686.8331899999994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14094</v>
      </c>
      <c r="E123" s="61">
        <v>14854</v>
      </c>
      <c r="F123" s="123">
        <f>68.94029</f>
        <v>68.940290000000005</v>
      </c>
      <c r="G123" s="123">
        <f>8734.76585-90.3717</f>
        <v>8644.3941500000001</v>
      </c>
      <c r="H123" s="123">
        <f>E123-G123</f>
        <v>6209.6058499999999</v>
      </c>
      <c r="I123" s="123">
        <f>11857.27921</f>
        <v>11857.279210000001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12169</v>
      </c>
      <c r="E124" s="61">
        <v>12872</v>
      </c>
      <c r="F124" s="123">
        <f>140.44441</f>
        <v>140.44441</v>
      </c>
      <c r="G124" s="123">
        <f>7811.73142-445.1816</f>
        <v>7366.5498200000002</v>
      </c>
      <c r="H124" s="123">
        <f>E124-G124</f>
        <v>5505.4501799999998</v>
      </c>
      <c r="I124" s="123">
        <f>11995.59673</f>
        <v>11995.596729999999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12617</v>
      </c>
      <c r="F125" s="123">
        <f>197.077</f>
        <v>197.077</v>
      </c>
      <c r="G125" s="123">
        <f>8985.44942-2122.2996</f>
        <v>6863.1498200000005</v>
      </c>
      <c r="H125" s="123">
        <f>E125-G125</f>
        <v>5753.8501799999995</v>
      </c>
      <c r="I125" s="123">
        <f>12115.0035</f>
        <v>12115.003500000001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236.93048999999999</v>
      </c>
      <c r="G126" s="129">
        <f>SUM(G127:G128)</f>
        <v>6202.2107699999997</v>
      </c>
      <c r="H126" s="129">
        <f>H127+H128</f>
        <v>1539.7892300000003</v>
      </c>
      <c r="I126" s="129">
        <f>SUM(I127:I128)</f>
        <v>8899.1685400000006</v>
      </c>
      <c r="J126" s="130"/>
    </row>
    <row r="127" spans="1:10" ht="14.15" customHeight="1" x14ac:dyDescent="0.35">
      <c r="A127" s="1"/>
      <c r="B127" s="277"/>
      <c r="C127" s="60" t="s">
        <v>63</v>
      </c>
      <c r="D127" s="61">
        <v>6819</v>
      </c>
      <c r="E127" s="61">
        <v>7242</v>
      </c>
      <c r="F127" s="123">
        <f>235.12689</f>
        <v>235.12689</v>
      </c>
      <c r="G127" s="123">
        <f>6038.56258</f>
        <v>6038.5625799999998</v>
      </c>
      <c r="H127" s="123">
        <f t="shared" ref="H127:H135" si="15">E127-G127</f>
        <v>1203.4374200000002</v>
      </c>
      <c r="I127" s="123">
        <f>8471.01749</f>
        <v>8471.0174900000002</v>
      </c>
      <c r="J127" s="117"/>
    </row>
    <row r="128" spans="1:10" ht="15" customHeight="1" x14ac:dyDescent="0.35">
      <c r="A128" s="1"/>
      <c r="B128" s="51"/>
      <c r="C128" s="60" t="s">
        <v>64</v>
      </c>
      <c r="D128" s="61">
        <v>500</v>
      </c>
      <c r="E128" s="61">
        <v>500</v>
      </c>
      <c r="F128" s="123">
        <f>1.8036</f>
        <v>1.8036000000000001</v>
      </c>
      <c r="G128" s="123">
        <f>163.64819</f>
        <v>163.64819</v>
      </c>
      <c r="H128" s="123">
        <f t="shared" si="15"/>
        <v>336.35181</v>
      </c>
      <c r="I128" s="123">
        <f>428.15105</f>
        <v>428.15105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10944</v>
      </c>
      <c r="F129" s="72">
        <f>207.01244</f>
        <v>207.01244</v>
      </c>
      <c r="G129" s="72">
        <f>4573.92558</f>
        <v>4573.9255800000001</v>
      </c>
      <c r="H129" s="72">
        <f t="shared" si="15"/>
        <v>6370.0744199999999</v>
      </c>
      <c r="I129" s="72">
        <f>5237.17056</f>
        <v>5237.1705599999996</v>
      </c>
      <c r="J129" s="117"/>
    </row>
    <row r="130" spans="1:10" ht="15.75" customHeight="1" x14ac:dyDescent="0.35">
      <c r="A130" s="1"/>
      <c r="B130" s="277"/>
      <c r="C130" s="139" t="s">
        <v>33</v>
      </c>
      <c r="D130" s="140">
        <v>146</v>
      </c>
      <c r="E130" s="140">
        <v>146</v>
      </c>
      <c r="F130" s="136">
        <f>0.3213</f>
        <v>0.32129999999999997</v>
      </c>
      <c r="G130" s="136">
        <f>16.7718</f>
        <v>16.771799999999999</v>
      </c>
      <c r="H130" s="136">
        <f t="shared" si="15"/>
        <v>129.22820000000002</v>
      </c>
      <c r="I130" s="136">
        <f>15.71255</f>
        <v>15.71255</v>
      </c>
      <c r="J130" s="117"/>
    </row>
    <row r="131" spans="1:10" ht="15.75" customHeight="1" x14ac:dyDescent="0.3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1.001</f>
        <v>1.0009999999999999</v>
      </c>
      <c r="H131" s="95">
        <f t="shared" si="15"/>
        <v>348.99900000000002</v>
      </c>
      <c r="I131" s="95">
        <f>256.036</f>
        <v>256.036</v>
      </c>
      <c r="J131" s="117"/>
    </row>
    <row r="132" spans="1:10" ht="18" customHeight="1" x14ac:dyDescent="0.35">
      <c r="A132" s="1"/>
      <c r="B132" s="277"/>
      <c r="C132" s="137" t="s">
        <v>66</v>
      </c>
      <c r="D132" s="140">
        <v>2000</v>
      </c>
      <c r="E132" s="140">
        <v>2000</v>
      </c>
      <c r="F132" s="136">
        <f>5.69385</f>
        <v>5.6938500000000003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67</v>
      </c>
      <c r="D134" s="140">
        <v>313</v>
      </c>
      <c r="E134" s="140">
        <v>313</v>
      </c>
      <c r="F134" s="95">
        <f>0.5824</f>
        <v>0.58240000000000003</v>
      </c>
      <c r="G134" s="95">
        <f>88.152</f>
        <v>88.152000000000001</v>
      </c>
      <c r="H134" s="136">
        <f t="shared" si="15"/>
        <v>224.84800000000001</v>
      </c>
      <c r="I134" s="95">
        <f>45.40311</f>
        <v>45.403109999999998</v>
      </c>
      <c r="J134" s="117"/>
    </row>
    <row r="135" spans="1:10" ht="15" customHeight="1" x14ac:dyDescent="0.35">
      <c r="A135" s="1"/>
      <c r="B135" s="277"/>
      <c r="C135" s="139" t="s">
        <v>38</v>
      </c>
      <c r="D135" s="142"/>
      <c r="E135" s="140"/>
      <c r="F135" s="136">
        <f>0.50405</f>
        <v>0.50405</v>
      </c>
      <c r="G135" s="136">
        <f>85.96633</f>
        <v>85.966329999999999</v>
      </c>
      <c r="H135" s="136">
        <f t="shared" si="15"/>
        <v>-85.966329999999999</v>
      </c>
      <c r="I135" s="136">
        <f>118.25424</f>
        <v>118.25424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2560.2016699999999</v>
      </c>
      <c r="G137" s="73">
        <f>G115+G119+G120+G130+G131+G132+G133+G134+G135</f>
        <v>110305.06746000002</v>
      </c>
      <c r="H137" s="73">
        <f>H115+H119+H120+H130+H131+H132+H133+H134+H135</f>
        <v>89993.932539999994</v>
      </c>
      <c r="I137" s="73">
        <f>I115+I119+I120+I130+I131+I132+I133+I134+I135</f>
        <v>120395.37039999999</v>
      </c>
      <c r="J137" s="155"/>
    </row>
    <row r="138" spans="1:10" ht="14.25" customHeight="1" x14ac:dyDescent="0.3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5" customHeight="1" x14ac:dyDescent="0.35">
      <c r="A160" s="1"/>
      <c r="B160" s="277"/>
      <c r="C160" s="138" t="s">
        <v>71</v>
      </c>
      <c r="D160" s="91">
        <v>3762</v>
      </c>
      <c r="E160" s="297">
        <f>49.25988</f>
        <v>49.259880000000003</v>
      </c>
      <c r="F160" s="297">
        <f>866.31399</f>
        <v>866.31398999999999</v>
      </c>
      <c r="G160" s="42">
        <f>D160-F160-F161</f>
        <v>1685.2941999999998</v>
      </c>
      <c r="H160" s="297">
        <f>853.9389</f>
        <v>853.93889999999999</v>
      </c>
      <c r="I160" s="1"/>
      <c r="J160" s="117"/>
    </row>
    <row r="161" spans="1:10" ht="14.15" customHeight="1" x14ac:dyDescent="0.35">
      <c r="A161" s="1"/>
      <c r="B161" s="277"/>
      <c r="C161" s="133" t="s">
        <v>50</v>
      </c>
      <c r="D161" s="175"/>
      <c r="E161" s="148">
        <f>0</f>
        <v>0</v>
      </c>
      <c r="F161" s="148">
        <f>1210.39181</f>
        <v>1210.3918100000001</v>
      </c>
      <c r="G161" s="219"/>
      <c r="H161" s="148">
        <f>1377.89105</f>
        <v>1377.89105</v>
      </c>
      <c r="I161" s="1"/>
      <c r="J161" s="117"/>
    </row>
    <row r="162" spans="1:10" ht="15.65" customHeight="1" x14ac:dyDescent="0.35">
      <c r="A162" s="1"/>
      <c r="B162" s="277"/>
      <c r="C162" s="163" t="s">
        <v>72</v>
      </c>
      <c r="D162" s="95">
        <v>200</v>
      </c>
      <c r="E162" s="166">
        <f>0</f>
        <v>0</v>
      </c>
      <c r="F162" s="166">
        <f>86.7691</f>
        <v>86.769099999999995</v>
      </c>
      <c r="G162" s="166">
        <f>D162-F162</f>
        <v>113.23090000000001</v>
      </c>
      <c r="H162" s="166">
        <f>80.43628</f>
        <v>80.436279999999996</v>
      </c>
      <c r="I162" s="1"/>
      <c r="J162" s="117"/>
    </row>
    <row r="163" spans="1:10" ht="14.15" customHeight="1" x14ac:dyDescent="0.35">
      <c r="A163" s="65"/>
      <c r="B163" s="75"/>
      <c r="C163" s="174" t="s">
        <v>73</v>
      </c>
      <c r="D163" s="175">
        <v>5642</v>
      </c>
      <c r="E163" s="175">
        <f>E164+E165+E166</f>
        <v>23.104370000000003</v>
      </c>
      <c r="F163" s="175">
        <f>F164+F165+F166</f>
        <v>5357.6700199999996</v>
      </c>
      <c r="G163" s="175">
        <f>D163-F163</f>
        <v>284.32998000000043</v>
      </c>
      <c r="H163" s="175">
        <f>H164+H165+H166</f>
        <v>5918.1044499999998</v>
      </c>
      <c r="I163" s="65"/>
      <c r="J163" s="111"/>
    </row>
    <row r="164" spans="1:10" ht="14.15" customHeight="1" x14ac:dyDescent="0.35">
      <c r="A164" s="192"/>
      <c r="B164" s="176"/>
      <c r="C164" s="177" t="s">
        <v>74</v>
      </c>
      <c r="D164" s="123"/>
      <c r="E164" s="123">
        <f>8.78278</f>
        <v>8.7827800000000007</v>
      </c>
      <c r="F164" s="123">
        <f>3053.08041</f>
        <v>3053.08041</v>
      </c>
      <c r="G164" s="123"/>
      <c r="H164" s="123">
        <f>3082.8718</f>
        <v>3082.8717999999999</v>
      </c>
      <c r="I164" s="181"/>
      <c r="J164" s="126"/>
    </row>
    <row r="165" spans="1:10" ht="14.15" customHeight="1" x14ac:dyDescent="0.35">
      <c r="A165" s="192"/>
      <c r="B165" s="176"/>
      <c r="C165" s="177" t="s">
        <v>75</v>
      </c>
      <c r="D165" s="123"/>
      <c r="E165" s="123">
        <f>9.97061</f>
        <v>9.9706100000000006</v>
      </c>
      <c r="F165" s="123">
        <f>1530.93041</f>
        <v>1530.9304099999999</v>
      </c>
      <c r="G165" s="123"/>
      <c r="H165" s="123">
        <f>1788.38706</f>
        <v>1788.38706</v>
      </c>
      <c r="I165" s="181"/>
      <c r="J165" s="182"/>
    </row>
    <row r="166" spans="1:10" ht="14.15" customHeight="1" x14ac:dyDescent="0.35">
      <c r="A166" s="192"/>
      <c r="B166" s="176"/>
      <c r="C166" s="183" t="s">
        <v>76</v>
      </c>
      <c r="D166" s="186"/>
      <c r="E166" s="186">
        <f>4.35098</f>
        <v>4.3509799999999998</v>
      </c>
      <c r="F166" s="186">
        <f>773.6592</f>
        <v>773.65920000000006</v>
      </c>
      <c r="G166" s="186"/>
      <c r="H166" s="186">
        <f>1046.84559</f>
        <v>1046.8455899999999</v>
      </c>
      <c r="I166" s="181"/>
      <c r="J166" s="182"/>
    </row>
    <row r="167" spans="1:10" ht="14.15" customHeight="1" x14ac:dyDescent="0.3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72.364249999999998</v>
      </c>
      <c r="F169" s="188">
        <f>F160+F161+F162+F163+F167+F168</f>
        <v>7526.49802</v>
      </c>
      <c r="G169" s="188">
        <f>D169-F169</f>
        <v>2148.50198</v>
      </c>
      <c r="H169" s="188">
        <f>H160+H161+H162+H163+H167+H168</f>
        <v>8230.37068</v>
      </c>
      <c r="I169" s="159"/>
      <c r="J169" s="155"/>
    </row>
    <row r="170" spans="1:10" ht="42" customHeight="1" x14ac:dyDescent="0.3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12.03548</f>
        <v>12.03548</v>
      </c>
      <c r="G189" s="124">
        <f>41444.39956</f>
        <v>41444.399559999998</v>
      </c>
      <c r="H189" s="124">
        <f>E189-G189</f>
        <v>1890.600440000002</v>
      </c>
      <c r="I189" s="124">
        <f>38846.79226</f>
        <v>38846.792260000002</v>
      </c>
      <c r="J189" s="117"/>
    </row>
    <row r="190" spans="1:10" ht="15" customHeight="1" x14ac:dyDescent="0.35">
      <c r="A190" s="1"/>
      <c r="B190" s="277"/>
      <c r="C190" s="90" t="s">
        <v>64</v>
      </c>
      <c r="D190" s="124">
        <v>100</v>
      </c>
      <c r="E190" s="124">
        <v>100</v>
      </c>
      <c r="F190" s="124">
        <f>0.1745</f>
        <v>0.17449999999999999</v>
      </c>
      <c r="G190" s="124">
        <f>35.46594</f>
        <v>35.465940000000003</v>
      </c>
      <c r="H190" s="124">
        <f>E190-G190</f>
        <v>64.534059999999997</v>
      </c>
      <c r="I190" s="124">
        <f>38.64156</f>
        <v>38.641559999999998</v>
      </c>
      <c r="J190" s="117"/>
    </row>
    <row r="191" spans="1:10" ht="15.75" customHeight="1" x14ac:dyDescent="0.3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12.20998</v>
      </c>
      <c r="G192" s="190">
        <f>SUM(G189:G191)</f>
        <v>41479.8655</v>
      </c>
      <c r="H192" s="190">
        <f>E192-G192</f>
        <v>1991.1345000000001</v>
      </c>
      <c r="I192" s="190">
        <f>SUM(I189:I191)</f>
        <v>38885.433819999998</v>
      </c>
      <c r="J192" s="117"/>
    </row>
    <row r="193" spans="1:10" ht="12" customHeight="1" x14ac:dyDescent="0.3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35">
      <c r="A202" s="1"/>
      <c r="B202" s="277"/>
      <c r="C202" s="90" t="s">
        <v>113</v>
      </c>
      <c r="D202" s="124">
        <v>3987</v>
      </c>
      <c r="E202" s="72">
        <f>E203+E204</f>
        <v>17.176459999999999</v>
      </c>
      <c r="F202" s="72">
        <f>F203+F204</f>
        <v>3390.7978600000001</v>
      </c>
      <c r="G202" s="72">
        <f>D202-F202</f>
        <v>596.20213999999987</v>
      </c>
      <c r="H202" s="72">
        <f>H203+H204</f>
        <v>3976.9114900000004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10.27646</f>
        <v>10.27646</v>
      </c>
      <c r="F203" s="72">
        <f>2776.86387</f>
        <v>2776.8638700000001</v>
      </c>
      <c r="G203" s="72"/>
      <c r="H203" s="72">
        <f>3452.78911</f>
        <v>3452.7891100000002</v>
      </c>
      <c r="I203" s="271"/>
      <c r="J203" s="117"/>
    </row>
    <row r="204" spans="1:10" ht="15" customHeight="1" x14ac:dyDescent="0.35">
      <c r="A204" s="1"/>
      <c r="B204" s="277"/>
      <c r="C204" s="172" t="s">
        <v>64</v>
      </c>
      <c r="D204" s="124"/>
      <c r="E204" s="124">
        <f>6.9</f>
        <v>6.9</v>
      </c>
      <c r="F204" s="124">
        <f>613.93399</f>
        <v>613.93398999999999</v>
      </c>
      <c r="G204" s="168"/>
      <c r="H204" s="124">
        <f>524.12238</f>
        <v>524.12238000000002</v>
      </c>
      <c r="I204" s="271"/>
      <c r="J204" s="117"/>
    </row>
    <row r="205" spans="1:10" ht="15" customHeight="1" x14ac:dyDescent="0.35">
      <c r="A205" s="1"/>
      <c r="B205" s="277"/>
      <c r="C205" s="90" t="s">
        <v>114</v>
      </c>
      <c r="D205" s="124">
        <v>4613</v>
      </c>
      <c r="E205" s="72">
        <f>53.6112</f>
        <v>53.611199999999997</v>
      </c>
      <c r="F205" s="72">
        <f>4357.53165</f>
        <v>4357.5316499999999</v>
      </c>
      <c r="G205" s="72">
        <f>D205-F205</f>
        <v>255.4683500000001</v>
      </c>
      <c r="H205" s="72">
        <f>5077.27341</f>
        <v>5077.2734099999998</v>
      </c>
      <c r="I205" s="271"/>
      <c r="J205" s="117"/>
    </row>
    <row r="206" spans="1:10" ht="16.5" customHeight="1" x14ac:dyDescent="0.35">
      <c r="A206" s="1"/>
      <c r="B206" s="277"/>
      <c r="C206" s="179" t="s">
        <v>83</v>
      </c>
      <c r="D206" s="190">
        <f>D205+D202</f>
        <v>8600</v>
      </c>
      <c r="E206" s="190">
        <f>SUM(E202,E205)</f>
        <v>70.787659999999988</v>
      </c>
      <c r="F206" s="190">
        <f>SUM(F202,F205)</f>
        <v>7748.3295099999996</v>
      </c>
      <c r="G206" s="190">
        <f>D206-F206</f>
        <v>851.67049000000043</v>
      </c>
      <c r="H206" s="190">
        <f>SUM(H202,H205)</f>
        <v>9054.1849000000002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35">
      <c r="A215" s="1"/>
      <c r="B215" s="277"/>
      <c r="C215" s="90" t="s">
        <v>113</v>
      </c>
      <c r="D215" s="124">
        <v>5090</v>
      </c>
      <c r="E215" s="72">
        <f>E216+E217</f>
        <v>4.9501200000000001</v>
      </c>
      <c r="F215" s="72">
        <f>F216+F217</f>
        <v>4505.4459100000004</v>
      </c>
      <c r="G215" s="72">
        <f>D215-F215</f>
        <v>584.55408999999963</v>
      </c>
      <c r="H215" s="72">
        <f>H216+H217</f>
        <v>4877.5137400000003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3.24306</f>
        <v>3.2430599999999998</v>
      </c>
      <c r="F216" s="72">
        <f>4183.05296</f>
        <v>4183.05296</v>
      </c>
      <c r="G216" s="72"/>
      <c r="H216" s="72">
        <f>4421.94433</f>
        <v>4421.9443300000003</v>
      </c>
      <c r="I216" s="271"/>
      <c r="J216" s="117"/>
    </row>
    <row r="217" spans="1:10" ht="15" customHeight="1" x14ac:dyDescent="0.35">
      <c r="A217" s="1"/>
      <c r="B217" s="277"/>
      <c r="C217" s="172" t="s">
        <v>64</v>
      </c>
      <c r="D217" s="124"/>
      <c r="E217" s="124">
        <f>1.70706</f>
        <v>1.70706</v>
      </c>
      <c r="F217" s="124">
        <f>322.39295</f>
        <v>322.39294999999998</v>
      </c>
      <c r="G217" s="168"/>
      <c r="H217" s="124">
        <f>455.56941</f>
        <v>455.56941</v>
      </c>
      <c r="I217" s="271"/>
      <c r="J217" s="117"/>
    </row>
    <row r="218" spans="1:10" ht="15" customHeight="1" x14ac:dyDescent="0.35">
      <c r="A218" s="1"/>
      <c r="B218" s="277"/>
      <c r="C218" s="90" t="s">
        <v>114</v>
      </c>
      <c r="D218" s="124">
        <v>2981</v>
      </c>
      <c r="E218" s="72">
        <f>72.74364</f>
        <v>72.743639999999999</v>
      </c>
      <c r="F218" s="72">
        <f>2013.09803</f>
        <v>2013.0980300000001</v>
      </c>
      <c r="G218" s="72">
        <f>D218-F218</f>
        <v>967.90196999999989</v>
      </c>
      <c r="H218" s="72">
        <f>2423.51492</f>
        <v>2423.5149200000001</v>
      </c>
      <c r="I218" s="271"/>
      <c r="J218" s="117"/>
    </row>
    <row r="219" spans="1:10" ht="16.5" customHeight="1" x14ac:dyDescent="0.35">
      <c r="A219" s="1"/>
      <c r="B219" s="277"/>
      <c r="C219" s="179" t="s">
        <v>83</v>
      </c>
      <c r="D219" s="190">
        <f>D218+D215</f>
        <v>8071</v>
      </c>
      <c r="E219" s="190">
        <f>SUM(E215,E218)</f>
        <v>77.693759999999997</v>
      </c>
      <c r="F219" s="190">
        <f>SUM(F215,F218)</f>
        <v>6518.5439400000005</v>
      </c>
      <c r="G219" s="190">
        <f>D219-F219</f>
        <v>1552.4560599999995</v>
      </c>
      <c r="H219" s="190">
        <f>SUM(H215,H218)</f>
        <v>7301.0286599999999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5" customHeight="1" x14ac:dyDescent="0.35">
      <c r="A237" s="65"/>
      <c r="B237" s="75"/>
      <c r="C237" s="90" t="s">
        <v>89</v>
      </c>
      <c r="D237" s="124">
        <v>800</v>
      </c>
      <c r="E237" s="124">
        <f>2.93078</f>
        <v>2.9307799999999999</v>
      </c>
      <c r="F237" s="124">
        <f>429.36419</f>
        <v>429.36419000000001</v>
      </c>
      <c r="G237" s="124">
        <f>D237-F237</f>
        <v>370.63580999999999</v>
      </c>
      <c r="H237" s="124">
        <f>495.74229</f>
        <v>495.74229000000003</v>
      </c>
      <c r="I237" s="65"/>
      <c r="J237" s="267"/>
    </row>
    <row r="238" spans="1:10" ht="14.15" customHeight="1" x14ac:dyDescent="0.35">
      <c r="A238" s="1"/>
      <c r="B238" s="277"/>
      <c r="C238" s="90" t="s">
        <v>90</v>
      </c>
      <c r="D238" s="269">
        <v>2193</v>
      </c>
      <c r="E238" s="124">
        <f>20.53255</f>
        <v>20.532550000000001</v>
      </c>
      <c r="F238" s="124">
        <f>928.11102</f>
        <v>928.11102000000005</v>
      </c>
      <c r="G238" s="124">
        <f>D238-F238</f>
        <v>1264.8889799999999</v>
      </c>
      <c r="H238" s="124">
        <f>2004.33903</f>
        <v>2004.3390300000001</v>
      </c>
      <c r="I238" s="173"/>
      <c r="J238" s="111"/>
    </row>
    <row r="239" spans="1:10" ht="16.5" customHeight="1" x14ac:dyDescent="0.3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3.0537</f>
        <v>3.0537000000000001</v>
      </c>
      <c r="G239" s="124">
        <f>D239-F239</f>
        <v>6.9462999999999999</v>
      </c>
      <c r="H239" s="168">
        <f>3.60962</f>
        <v>3.6096200000000001</v>
      </c>
      <c r="I239" s="65"/>
      <c r="J239" s="272"/>
    </row>
    <row r="240" spans="1:10" ht="18.75" customHeight="1" x14ac:dyDescent="0.35">
      <c r="A240" s="65"/>
      <c r="B240" s="273"/>
      <c r="C240" s="146" t="s">
        <v>91</v>
      </c>
      <c r="D240" s="245"/>
      <c r="E240" s="168">
        <f>0</f>
        <v>0</v>
      </c>
      <c r="F240" s="168">
        <f>2.91053</f>
        <v>2.9105300000000001</v>
      </c>
      <c r="G240" s="124">
        <f>D240-F240</f>
        <v>-2.9105300000000001</v>
      </c>
      <c r="H240" s="168">
        <f>0.091</f>
        <v>9.0999999999999998E-2</v>
      </c>
      <c r="I240" s="305"/>
      <c r="J240" s="117"/>
    </row>
    <row r="241" spans="1:10" ht="14.15" customHeight="1" x14ac:dyDescent="0.35">
      <c r="A241" s="1"/>
      <c r="B241" s="277"/>
      <c r="C241" s="179" t="s">
        <v>83</v>
      </c>
      <c r="D241" s="5">
        <f>D226</f>
        <v>3003</v>
      </c>
      <c r="E241" s="190">
        <f>SUM(E237:E240)</f>
        <v>23.463329999999999</v>
      </c>
      <c r="F241" s="190">
        <f>SUM(F237:F240)</f>
        <v>1363.4394400000001</v>
      </c>
      <c r="G241" s="190">
        <f>D241-F241</f>
        <v>1639.5605599999999</v>
      </c>
      <c r="H241" s="190">
        <f>H237+H238+H239+H240</f>
        <v>2503.7819400000003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109</v>
      </c>
    </row>
    <row r="245" spans="1:10" ht="14.15" customHeight="1" x14ac:dyDescent="0.35">
      <c r="A245" s="1" t="s">
        <v>109</v>
      </c>
    </row>
    <row r="246" spans="1:10" ht="30" customHeight="1" x14ac:dyDescent="0.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3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336.51702</v>
      </c>
      <c r="G262" s="276">
        <f t="shared" si="17"/>
        <v>16098.007659999999</v>
      </c>
      <c r="H262" s="276">
        <f>H266+H265+H264+H263</f>
        <v>11637.992340000001</v>
      </c>
      <c r="I262" s="276">
        <f t="shared" si="17"/>
        <v>13815.029689999999</v>
      </c>
      <c r="J262" s="127"/>
    </row>
    <row r="263" spans="1:10" ht="14.15" customHeight="1" x14ac:dyDescent="0.35">
      <c r="A263" s="223"/>
      <c r="B263" s="69"/>
      <c r="C263" s="278" t="s">
        <v>99</v>
      </c>
      <c r="D263" s="279">
        <v>14132</v>
      </c>
      <c r="E263" s="279">
        <v>16670</v>
      </c>
      <c r="F263" s="280">
        <f>0</f>
        <v>0</v>
      </c>
      <c r="G263" s="280">
        <f>9697.81079</f>
        <v>9697.8107899999995</v>
      </c>
      <c r="H263" s="280">
        <f t="shared" ref="H263:H267" si="18">E263-G263</f>
        <v>6972.1892100000005</v>
      </c>
      <c r="I263" s="280">
        <f>8288.63726</f>
        <v>8288.6372599999995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328.4847</f>
        <v>328.48469999999998</v>
      </c>
      <c r="G264" s="280">
        <f>2095.93927</f>
        <v>2095.9392699999999</v>
      </c>
      <c r="H264" s="280">
        <f>E264-G264</f>
        <v>2243.0607300000001</v>
      </c>
      <c r="I264" s="280">
        <f>1639.35901</f>
        <v>1639.3590099999999</v>
      </c>
      <c r="J264" s="127"/>
    </row>
    <row r="265" spans="1:10" ht="14.15" customHeight="1" x14ac:dyDescent="0.35">
      <c r="A265" s="223"/>
      <c r="B265" s="69"/>
      <c r="C265" s="282" t="s">
        <v>96</v>
      </c>
      <c r="D265" s="279">
        <v>1506</v>
      </c>
      <c r="E265" s="279">
        <v>1571</v>
      </c>
      <c r="F265" s="280">
        <f>5.21832</f>
        <v>5.2183200000000003</v>
      </c>
      <c r="G265" s="280">
        <f>1383.11301</f>
        <v>1383.11301</v>
      </c>
      <c r="H265" s="280">
        <f t="shared" si="18"/>
        <v>187.88698999999997</v>
      </c>
      <c r="I265" s="280">
        <f>1646.55856</f>
        <v>1646.5585599999999</v>
      </c>
      <c r="J265" s="127"/>
    </row>
    <row r="266" spans="1:10" ht="14.15" customHeight="1" x14ac:dyDescent="0.35">
      <c r="A266" s="223"/>
      <c r="B266" s="69"/>
      <c r="C266" s="284" t="s">
        <v>119</v>
      </c>
      <c r="D266" s="285">
        <v>5043</v>
      </c>
      <c r="E266" s="285">
        <v>5156</v>
      </c>
      <c r="F266" s="280">
        <f>2.814</f>
        <v>2.8140000000000001</v>
      </c>
      <c r="G266" s="280">
        <f>2921.14459</f>
        <v>2921.1445899999999</v>
      </c>
      <c r="H266" s="280">
        <f t="shared" si="18"/>
        <v>2234.8554100000001</v>
      </c>
      <c r="I266" s="280">
        <f>2240.47486</f>
        <v>2240.4748599999998</v>
      </c>
      <c r="J266" s="127"/>
    </row>
    <row r="267" spans="1:10" ht="14.15" customHeight="1" x14ac:dyDescent="0.35">
      <c r="A267" s="223"/>
      <c r="B267" s="69"/>
      <c r="C267" s="287" t="s">
        <v>56</v>
      </c>
      <c r="D267" s="288">
        <v>5500</v>
      </c>
      <c r="E267" s="288">
        <v>5500</v>
      </c>
      <c r="F267" s="290">
        <f>0.599</f>
        <v>0.59899999999999998</v>
      </c>
      <c r="G267" s="290">
        <f>4100.64424</f>
        <v>4100.6442399999996</v>
      </c>
      <c r="H267" s="290">
        <f t="shared" si="18"/>
        <v>1399.3557600000004</v>
      </c>
      <c r="I267" s="290">
        <f>2096.67978</f>
        <v>2096.6797799999999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89.62867</v>
      </c>
      <c r="G268" s="291">
        <f>G270+G269</f>
        <v>2375.87961</v>
      </c>
      <c r="H268" s="291">
        <f>E268-G268</f>
        <v>5624.12039</v>
      </c>
      <c r="I268" s="291">
        <f>I270+I269</f>
        <v>2819.39275</v>
      </c>
      <c r="J268" s="127"/>
    </row>
    <row r="269" spans="1:10" ht="14.15" customHeight="1" x14ac:dyDescent="0.3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503.44023</f>
        <v>503.44022999999999</v>
      </c>
      <c r="H269" s="280"/>
      <c r="I269" s="280">
        <f>899.85918</f>
        <v>899.85918000000004</v>
      </c>
      <c r="J269" s="127"/>
    </row>
    <row r="270" spans="1:10" ht="14.15" customHeight="1" x14ac:dyDescent="0.35">
      <c r="A270" s="223"/>
      <c r="B270" s="69"/>
      <c r="C270" s="295" t="s">
        <v>100</v>
      </c>
      <c r="D270" s="296"/>
      <c r="E270" s="298"/>
      <c r="F270" s="299">
        <f>89.62867</f>
        <v>89.62867</v>
      </c>
      <c r="G270" s="299">
        <f>1872.43938</f>
        <v>1872.43938</v>
      </c>
      <c r="H270" s="299"/>
      <c r="I270" s="299">
        <f>1919.53357</f>
        <v>1919.5335700000001</v>
      </c>
      <c r="J270" s="127"/>
    </row>
    <row r="271" spans="1:10" ht="14.15" customHeight="1" x14ac:dyDescent="0.3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5" customHeight="1" x14ac:dyDescent="0.35">
      <c r="A272" s="223"/>
      <c r="B272" s="69"/>
      <c r="C272" s="300" t="s">
        <v>101</v>
      </c>
      <c r="D272" s="303"/>
      <c r="E272" s="304"/>
      <c r="F272" s="290">
        <f>1.18836</f>
        <v>1.1883600000000001</v>
      </c>
      <c r="G272" s="290">
        <f>159.77545</f>
        <v>159.77545000000001</v>
      </c>
      <c r="H272" s="290">
        <f>E272-G272</f>
        <v>-159.77545000000001</v>
      </c>
      <c r="I272" s="290">
        <f>102.92251</f>
        <v>102.92251</v>
      </c>
      <c r="J272" s="127"/>
    </row>
    <row r="273" spans="1:10" ht="19.5" customHeight="1" x14ac:dyDescent="0.3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427.93304999999998</v>
      </c>
      <c r="G273" s="308">
        <f t="shared" si="19"/>
        <v>22734.875459999999</v>
      </c>
      <c r="H273" s="308">
        <f>H262+H267+H268+H271+H272</f>
        <v>18514.124539999997</v>
      </c>
      <c r="I273" s="308">
        <f t="shared" si="19"/>
        <v>18834.14113</v>
      </c>
      <c r="J273" s="127"/>
    </row>
    <row r="274" spans="1:10" ht="14.15" customHeight="1" x14ac:dyDescent="0.3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109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16" t="s">
        <v>117</v>
      </c>
      <c r="D288" s="316"/>
      <c r="E288" s="316"/>
      <c r="F288" s="316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5" customHeight="1" x14ac:dyDescent="0.35">
      <c r="A294" s="223"/>
      <c r="B294" s="69"/>
      <c r="C294" s="287" t="s">
        <v>106</v>
      </c>
      <c r="D294" s="197">
        <v>779</v>
      </c>
      <c r="E294" s="25">
        <f>SUM(E295:E296)</f>
        <v>29.841099999999997</v>
      </c>
      <c r="F294" s="25">
        <f>SUM(F295:F296)</f>
        <v>622.41515000000004</v>
      </c>
      <c r="G294" s="82">
        <f>D294-F294</f>
        <v>156.58484999999996</v>
      </c>
      <c r="H294" s="25">
        <f>SUM(H295:H296)</f>
        <v>675.31817999999998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22.0583</f>
        <v>22.058299999999999</v>
      </c>
      <c r="F295" s="198">
        <f>473.50095</f>
        <v>473.50094999999999</v>
      </c>
      <c r="G295" s="199"/>
      <c r="H295" s="198">
        <f>521.94058</f>
        <v>521.94057999999995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7.7828</f>
        <v>7.7827999999999999</v>
      </c>
      <c r="F296" s="202">
        <f>148.9142</f>
        <v>148.91419999999999</v>
      </c>
      <c r="G296" s="203"/>
      <c r="H296" s="202">
        <f>153.3776</f>
        <v>153.3776</v>
      </c>
      <c r="I296" s="145"/>
      <c r="J296" s="127"/>
    </row>
    <row r="297" spans="1:10" ht="14.15" customHeight="1" x14ac:dyDescent="0.35">
      <c r="A297" s="223"/>
      <c r="B297" s="69"/>
      <c r="C297" s="287" t="s">
        <v>107</v>
      </c>
      <c r="D297" s="9">
        <v>779</v>
      </c>
      <c r="E297" s="25">
        <f>SUM(E298:E299)</f>
        <v>0</v>
      </c>
      <c r="F297" s="25">
        <f>SUM(F298:F299)</f>
        <v>0</v>
      </c>
      <c r="G297" s="82">
        <f>D297-F297</f>
        <v>779</v>
      </c>
      <c r="H297" s="25">
        <f>SUM(H298:H299)</f>
        <v>0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5" customHeight="1" x14ac:dyDescent="0.3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5" customHeight="1" x14ac:dyDescent="0.3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29.841099999999997</v>
      </c>
      <c r="F304" s="39">
        <f>F294+F297+F300+F303</f>
        <v>622.41515000000004</v>
      </c>
      <c r="G304" s="40">
        <f>D304-F304</f>
        <v>1715.58485</v>
      </c>
      <c r="H304" s="39">
        <f>H294+H297+H300+H303</f>
        <v>675.31817999999998</v>
      </c>
      <c r="I304" s="26"/>
      <c r="J304" s="127"/>
    </row>
    <row r="305" spans="1:10" ht="42" customHeight="1" x14ac:dyDescent="0.35">
      <c r="A305" s="223"/>
      <c r="B305" s="230"/>
      <c r="C305" s="318" t="s">
        <v>112</v>
      </c>
      <c r="D305" s="318"/>
      <c r="E305" s="318"/>
      <c r="F305" s="318"/>
      <c r="G305" s="318"/>
      <c r="H305" s="318"/>
      <c r="I305" s="318"/>
      <c r="J305" s="319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109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16" t="s">
        <v>154</v>
      </c>
      <c r="D316" s="316"/>
      <c r="E316" s="316"/>
      <c r="F316" s="316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35">
      <c r="A322" s="223"/>
      <c r="B322" s="69"/>
      <c r="C322" s="236" t="s">
        <v>151</v>
      </c>
      <c r="D322" s="237">
        <v>248</v>
      </c>
      <c r="E322" s="29">
        <f>0.56795</f>
        <v>0.56794999999999995</v>
      </c>
      <c r="F322" s="29">
        <f>941.39574</f>
        <v>941.39574000000005</v>
      </c>
      <c r="G322" s="238">
        <f>D322-F322</f>
        <v>-693.39574000000005</v>
      </c>
      <c r="H322" s="29">
        <f>567.94781</f>
        <v>567.94781</v>
      </c>
      <c r="I322" s="242"/>
      <c r="J322" s="127"/>
    </row>
    <row r="323" spans="1:10" ht="17.5" customHeight="1" x14ac:dyDescent="0.35">
      <c r="A323" s="223"/>
      <c r="B323" s="69"/>
      <c r="C323" s="239" t="s">
        <v>152</v>
      </c>
      <c r="D323" s="240">
        <v>22048</v>
      </c>
      <c r="E323" s="29">
        <f>18.1333</f>
        <v>18.133299999999998</v>
      </c>
      <c r="F323" s="29">
        <f>1390.26427</f>
        <v>1390.2642699999999</v>
      </c>
      <c r="G323" s="241">
        <f>D323-F323</f>
        <v>20657.73573</v>
      </c>
      <c r="H323" s="29">
        <f>1851.18804</f>
        <v>1851.18804</v>
      </c>
      <c r="I323" s="26"/>
      <c r="J323" s="127"/>
    </row>
    <row r="324" spans="1:10" ht="17.149999999999999" customHeight="1" x14ac:dyDescent="0.35">
      <c r="A324" s="223"/>
      <c r="B324" s="69"/>
      <c r="C324" s="306" t="s">
        <v>83</v>
      </c>
      <c r="D324" s="229">
        <f>D322+D323</f>
        <v>22296</v>
      </c>
      <c r="E324" s="39">
        <f>E323+E322</f>
        <v>18.701249999999998</v>
      </c>
      <c r="F324" s="39">
        <f>F323+F322</f>
        <v>2331.6600100000001</v>
      </c>
      <c r="G324" s="39">
        <f>G323+G322</f>
        <v>19964.33999</v>
      </c>
      <c r="H324" s="39">
        <f>H323+H322</f>
        <v>2419.1358500000001</v>
      </c>
      <c r="I324" s="26"/>
      <c r="J324" s="127"/>
    </row>
    <row r="325" spans="1:10" ht="22.5" customHeight="1" x14ac:dyDescent="0.35">
      <c r="A325" s="223"/>
      <c r="B325" s="69"/>
      <c r="C325" s="314" t="s">
        <v>153</v>
      </c>
      <c r="D325" s="314"/>
      <c r="E325" s="314"/>
      <c r="F325" s="314"/>
      <c r="G325" s="314"/>
      <c r="H325" s="314"/>
      <c r="I325" s="314"/>
      <c r="J325" s="315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109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3" t="s">
        <v>146</v>
      </c>
      <c r="D337" s="313"/>
      <c r="E337" s="313"/>
      <c r="F337" s="313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3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4" t="s">
        <v>153</v>
      </c>
      <c r="D346" s="314"/>
      <c r="E346" s="314"/>
      <c r="F346" s="314"/>
      <c r="G346" s="314"/>
      <c r="H346" s="314"/>
      <c r="I346" s="314"/>
      <c r="J346" s="315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36&amp;R08.09.2025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2025-09-08T06:51:52Z</dcterms:modified>
</cp:coreProperties>
</file>