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fiskeridirektoratet.no\Ressurs\Brukere\almal\Downloads\"/>
    </mc:Choice>
  </mc:AlternateContent>
  <xr:revisionPtr revIDLastSave="0" documentId="13_ncr:1_{A12426C7-B076-4FD5-8232-0FDB5EA10E3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0" i="1" l="1"/>
  <c r="H390" i="1"/>
  <c r="G132" i="1"/>
  <c r="H132" i="1" s="1"/>
  <c r="D423" i="1"/>
  <c r="H422" i="1"/>
  <c r="F422" i="1"/>
  <c r="G422" i="1" s="1"/>
  <c r="E422" i="1"/>
  <c r="H421" i="1"/>
  <c r="F421" i="1"/>
  <c r="E421" i="1"/>
  <c r="H420" i="1"/>
  <c r="F420" i="1"/>
  <c r="E420" i="1"/>
  <c r="H419" i="1"/>
  <c r="F419" i="1"/>
  <c r="G419" i="1" s="1"/>
  <c r="E419" i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H414" i="1"/>
  <c r="F414" i="1"/>
  <c r="F413" i="1" s="1"/>
  <c r="E414" i="1"/>
  <c r="E413" i="1" s="1"/>
  <c r="E423" i="1" s="1"/>
  <c r="H413" i="1"/>
  <c r="H423" i="1" s="1"/>
  <c r="D391" i="1"/>
  <c r="G390" i="1"/>
  <c r="F390" i="1"/>
  <c r="I389" i="1"/>
  <c r="G389" i="1"/>
  <c r="H389" i="1" s="1"/>
  <c r="F389" i="1"/>
  <c r="I388" i="1"/>
  <c r="G388" i="1"/>
  <c r="F388" i="1"/>
  <c r="I387" i="1"/>
  <c r="I386" i="1" s="1"/>
  <c r="I391" i="1" s="1"/>
  <c r="G387" i="1"/>
  <c r="F387" i="1"/>
  <c r="H386" i="1"/>
  <c r="G386" i="1"/>
  <c r="F386" i="1"/>
  <c r="I385" i="1"/>
  <c r="H385" i="1"/>
  <c r="G385" i="1"/>
  <c r="F385" i="1"/>
  <c r="I384" i="1"/>
  <c r="H384" i="1"/>
  <c r="G384" i="1"/>
  <c r="F384" i="1"/>
  <c r="I383" i="1"/>
  <c r="H383" i="1"/>
  <c r="H380" i="1" s="1"/>
  <c r="G383" i="1"/>
  <c r="F383" i="1"/>
  <c r="I382" i="1"/>
  <c r="H382" i="1"/>
  <c r="G382" i="1"/>
  <c r="F382" i="1"/>
  <c r="I381" i="1"/>
  <c r="H381" i="1"/>
  <c r="G381" i="1"/>
  <c r="F381" i="1"/>
  <c r="I380" i="1"/>
  <c r="G380" i="1"/>
  <c r="G391" i="1" s="1"/>
  <c r="F380" i="1"/>
  <c r="F391" i="1" s="1"/>
  <c r="D380" i="1"/>
  <c r="H372" i="1"/>
  <c r="F372" i="1"/>
  <c r="F354" i="1"/>
  <c r="D354" i="1"/>
  <c r="G354" i="1" s="1"/>
  <c r="H353" i="1"/>
  <c r="G353" i="1"/>
  <c r="F353" i="1"/>
  <c r="E353" i="1"/>
  <c r="H352" i="1"/>
  <c r="G352" i="1"/>
  <c r="F352" i="1"/>
  <c r="E352" i="1"/>
  <c r="H351" i="1"/>
  <c r="G351" i="1"/>
  <c r="F351" i="1"/>
  <c r="E351" i="1"/>
  <c r="H350" i="1"/>
  <c r="H354" i="1" s="1"/>
  <c r="G350" i="1"/>
  <c r="F350" i="1"/>
  <c r="E350" i="1"/>
  <c r="E354" i="1" s="1"/>
  <c r="D343" i="1"/>
  <c r="D299" i="1"/>
  <c r="H298" i="1"/>
  <c r="G298" i="1"/>
  <c r="F298" i="1"/>
  <c r="E298" i="1"/>
  <c r="H297" i="1"/>
  <c r="F297" i="1"/>
  <c r="E297" i="1"/>
  <c r="H296" i="1"/>
  <c r="H295" i="1" s="1"/>
  <c r="H299" i="1" s="1"/>
  <c r="F296" i="1"/>
  <c r="F295" i="1" s="1"/>
  <c r="E296" i="1"/>
  <c r="E295" i="1" s="1"/>
  <c r="E299" i="1" s="1"/>
  <c r="D253" i="1"/>
  <c r="H252" i="1"/>
  <c r="F252" i="1"/>
  <c r="G252" i="1" s="1"/>
  <c r="E252" i="1"/>
  <c r="H251" i="1"/>
  <c r="H249" i="1" s="1"/>
  <c r="H253" i="1" s="1"/>
  <c r="F251" i="1"/>
  <c r="E251" i="1"/>
  <c r="H250" i="1"/>
  <c r="F250" i="1"/>
  <c r="F249" i="1" s="1"/>
  <c r="E250" i="1"/>
  <c r="E249" i="1"/>
  <c r="E253" i="1" s="1"/>
  <c r="H207" i="1"/>
  <c r="D207" i="1"/>
  <c r="H206" i="1"/>
  <c r="F206" i="1"/>
  <c r="G206" i="1" s="1"/>
  <c r="E206" i="1"/>
  <c r="H205" i="1"/>
  <c r="G205" i="1"/>
  <c r="F205" i="1"/>
  <c r="E205" i="1"/>
  <c r="H204" i="1"/>
  <c r="F204" i="1"/>
  <c r="G204" i="1" s="1"/>
  <c r="E204" i="1"/>
  <c r="E207" i="1" s="1"/>
  <c r="D184" i="1"/>
  <c r="H183" i="1"/>
  <c r="G183" i="1"/>
  <c r="F183" i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F179" i="1"/>
  <c r="F178" i="1" s="1"/>
  <c r="G178" i="1" s="1"/>
  <c r="E179" i="1"/>
  <c r="H178" i="1"/>
  <c r="E178" i="1"/>
  <c r="H177" i="1"/>
  <c r="F177" i="1"/>
  <c r="G177" i="1" s="1"/>
  <c r="E177" i="1"/>
  <c r="H176" i="1"/>
  <c r="F176" i="1"/>
  <c r="E176" i="1"/>
  <c r="H175" i="1"/>
  <c r="H184" i="1" s="1"/>
  <c r="F175" i="1"/>
  <c r="F184" i="1" s="1"/>
  <c r="G184" i="1" s="1"/>
  <c r="E175" i="1"/>
  <c r="E184" i="1" s="1"/>
  <c r="D167" i="1"/>
  <c r="D169" i="1" s="1"/>
  <c r="I148" i="1"/>
  <c r="H148" i="1"/>
  <c r="G148" i="1"/>
  <c r="F148" i="1"/>
  <c r="I147" i="1"/>
  <c r="G147" i="1"/>
  <c r="H147" i="1" s="1"/>
  <c r="F147" i="1"/>
  <c r="H146" i="1"/>
  <c r="I145" i="1"/>
  <c r="H145" i="1"/>
  <c r="G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I139" i="1" s="1"/>
  <c r="H141" i="1"/>
  <c r="G141" i="1"/>
  <c r="F141" i="1"/>
  <c r="I140" i="1"/>
  <c r="G140" i="1"/>
  <c r="H140" i="1" s="1"/>
  <c r="H139" i="1" s="1"/>
  <c r="F140" i="1"/>
  <c r="F139" i="1"/>
  <c r="F133" i="1" s="1"/>
  <c r="E139" i="1"/>
  <c r="D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I134" i="1"/>
  <c r="G134" i="1"/>
  <c r="F134" i="1"/>
  <c r="E134" i="1"/>
  <c r="D134" i="1"/>
  <c r="D133" i="1" s="1"/>
  <c r="E133" i="1"/>
  <c r="I132" i="1"/>
  <c r="F132" i="1"/>
  <c r="I131" i="1"/>
  <c r="G131" i="1"/>
  <c r="H131" i="1" s="1"/>
  <c r="F131" i="1"/>
  <c r="I130" i="1"/>
  <c r="H130" i="1"/>
  <c r="G130" i="1"/>
  <c r="F130" i="1"/>
  <c r="I129" i="1"/>
  <c r="I128" i="1" s="1"/>
  <c r="G129" i="1"/>
  <c r="G128" i="1" s="1"/>
  <c r="F129" i="1"/>
  <c r="F128" i="1" s="1"/>
  <c r="F150" i="1" s="1"/>
  <c r="E128" i="1"/>
  <c r="E150" i="1" s="1"/>
  <c r="D128" i="1"/>
  <c r="D150" i="1" s="1"/>
  <c r="C126" i="1"/>
  <c r="I106" i="1"/>
  <c r="G106" i="1"/>
  <c r="H106" i="1" s="1"/>
  <c r="F106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I96" i="1" s="1"/>
  <c r="I95" i="1" s="1"/>
  <c r="G97" i="1"/>
  <c r="H97" i="1" s="1"/>
  <c r="F97" i="1"/>
  <c r="F96" i="1" s="1"/>
  <c r="F95" i="1" s="1"/>
  <c r="E96" i="1"/>
  <c r="E95" i="1" s="1"/>
  <c r="D96" i="1"/>
  <c r="D95" i="1"/>
  <c r="I94" i="1"/>
  <c r="G94" i="1"/>
  <c r="H94" i="1" s="1"/>
  <c r="F94" i="1"/>
  <c r="F92" i="1" s="1"/>
  <c r="F107" i="1" s="1"/>
  <c r="I93" i="1"/>
  <c r="G93" i="1"/>
  <c r="G92" i="1" s="1"/>
  <c r="F93" i="1"/>
  <c r="I92" i="1"/>
  <c r="I107" i="1" s="1"/>
  <c r="E92" i="1"/>
  <c r="D92" i="1"/>
  <c r="D107" i="1" s="1"/>
  <c r="C89" i="1"/>
  <c r="H85" i="1"/>
  <c r="F85" i="1"/>
  <c r="D85" i="1"/>
  <c r="H61" i="1"/>
  <c r="H60" i="1"/>
  <c r="I35" i="1" s="1"/>
  <c r="I34" i="1" s="1"/>
  <c r="I26" i="1" s="1"/>
  <c r="I55" i="1"/>
  <c r="I32" i="1" s="1"/>
  <c r="I27" i="1" s="1"/>
  <c r="G55" i="1"/>
  <c r="G32" i="1" s="1"/>
  <c r="H32" i="1" s="1"/>
  <c r="F55" i="1"/>
  <c r="I43" i="1"/>
  <c r="G43" i="1"/>
  <c r="H43" i="1" s="1"/>
  <c r="F43" i="1"/>
  <c r="H4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G35" i="1"/>
  <c r="H35" i="1" s="1"/>
  <c r="F35" i="1"/>
  <c r="E35" i="1"/>
  <c r="D34" i="1"/>
  <c r="I33" i="1"/>
  <c r="H33" i="1"/>
  <c r="G33" i="1"/>
  <c r="F33" i="1"/>
  <c r="F32" i="1"/>
  <c r="I31" i="1"/>
  <c r="G31" i="1"/>
  <c r="H31" i="1" s="1"/>
  <c r="F31" i="1"/>
  <c r="I30" i="1"/>
  <c r="G30" i="1"/>
  <c r="H30" i="1" s="1"/>
  <c r="F30" i="1"/>
  <c r="I29" i="1"/>
  <c r="H29" i="1"/>
  <c r="G29" i="1"/>
  <c r="F29" i="1"/>
  <c r="I28" i="1"/>
  <c r="G28" i="1"/>
  <c r="H28" i="1" s="1"/>
  <c r="F28" i="1"/>
  <c r="E27" i="1"/>
  <c r="D27" i="1"/>
  <c r="E26" i="1"/>
  <c r="D26" i="1"/>
  <c r="I25" i="1"/>
  <c r="G25" i="1"/>
  <c r="G23" i="1" s="1"/>
  <c r="F25" i="1"/>
  <c r="F23" i="1" s="1"/>
  <c r="I24" i="1"/>
  <c r="I23" i="1" s="1"/>
  <c r="H24" i="1"/>
  <c r="G24" i="1"/>
  <c r="F24" i="1"/>
  <c r="E23" i="1"/>
  <c r="E44" i="1" s="1"/>
  <c r="D23" i="1"/>
  <c r="D44" i="1" s="1"/>
  <c r="H16" i="1"/>
  <c r="F16" i="1"/>
  <c r="D16" i="1"/>
  <c r="I44" i="1" l="1"/>
  <c r="F34" i="1"/>
  <c r="F26" i="1" s="1"/>
  <c r="F44" i="1" s="1"/>
  <c r="F27" i="1"/>
  <c r="H92" i="1"/>
  <c r="H107" i="1" s="1"/>
  <c r="E107" i="1"/>
  <c r="H391" i="1"/>
  <c r="G249" i="1"/>
  <c r="F253" i="1"/>
  <c r="G253" i="1" s="1"/>
  <c r="G133" i="1"/>
  <c r="G150" i="1" s="1"/>
  <c r="H134" i="1"/>
  <c r="H133" i="1" s="1"/>
  <c r="F299" i="1"/>
  <c r="G295" i="1"/>
  <c r="I133" i="1"/>
  <c r="I150" i="1" s="1"/>
  <c r="H96" i="1"/>
  <c r="H95" i="1" s="1"/>
  <c r="G299" i="1"/>
  <c r="F423" i="1"/>
  <c r="G423" i="1" s="1"/>
  <c r="G413" i="1"/>
  <c r="H27" i="1"/>
  <c r="F207" i="1"/>
  <c r="G207" i="1" s="1"/>
  <c r="G27" i="1"/>
  <c r="G139" i="1"/>
  <c r="H55" i="1"/>
  <c r="H129" i="1"/>
  <c r="H128" i="1" s="1"/>
  <c r="G96" i="1"/>
  <c r="G95" i="1" s="1"/>
  <c r="G107" i="1" s="1"/>
  <c r="H93" i="1"/>
  <c r="H25" i="1"/>
  <c r="H23" i="1" s="1"/>
  <c r="G34" i="1"/>
  <c r="G175" i="1"/>
  <c r="H34" i="1" l="1"/>
  <c r="H26" i="1" s="1"/>
  <c r="H44" i="1" s="1"/>
  <c r="G26" i="1"/>
  <c r="G44" i="1" s="1"/>
  <c r="H150" i="1"/>
</calcChain>
</file>

<file path=xl/sharedStrings.xml><?xml version="1.0" encoding="utf-8"?>
<sst xmlns="http://schemas.openxmlformats.org/spreadsheetml/2006/main" count="359" uniqueCount="151">
  <si>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</si>
  <si>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</si>
  <si>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</si>
  <si>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</si>
  <si>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</si>
  <si>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</si>
  <si>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</si>
  <si>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</si>
  <si>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</si>
  <si>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</si>
  <si>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</si>
  <si>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</si>
  <si>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</si>
  <si>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</si>
  <si>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</si>
  <si>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</si>
  <si>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</si>
  <si>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</si>
  <si>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</si>
  <si>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</si>
  <si>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</si>
  <si>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</si>
  <si>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</si>
  <si>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</si>
  <si>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</si>
  <si>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</si>
  <si>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</si>
  <si>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</si>
  <si>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</si>
  <si>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</si>
  <si>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</si>
  <si>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</si>
  <si>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</si>
  <si>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</si>
  <si>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</si>
  <si>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</si>
  <si>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</si>
  <si>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</si>
  <si>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</si>
  <si>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</si>
  <si>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</si>
  <si>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</si>
  <si>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</si>
  <si>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</si>
  <si>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</si>
  <si>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</si>
  <si>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</si>
  <si>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</si>
  <si>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</si>
  <si>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</si>
  <si>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</si>
  <si>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</si>
  <si>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</si>
  <si>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</si>
  <si>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</si>
  <si>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</si>
  <si>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</si>
  <si>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</si>
  <si>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</si>
  <si>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</si>
  <si>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</si>
  <si>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</si>
  <si>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</si>
  <si>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</si>
  <si>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</si>
  <si>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</si>
  <si>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</si>
  <si>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</si>
  <si>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</si>
  <si>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</si>
  <si>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</si>
  <si>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</si>
  <si>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</si>
  <si>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</si>
  <si>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</si>
  <si>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</si>
  <si>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</si>
  <si>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</si>
  <si>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</si>
  <si>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</si>
  <si>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</si>
  <si>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</si>
  <si>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</si>
  <si>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</si>
  <si>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</si>
  <si>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</si>
  <si>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</si>
  <si>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</si>
  <si>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</si>
  <si>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</si>
  <si>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</si>
  <si>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</si>
  <si>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</si>
  <si>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</si>
  <si>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</si>
  <si>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</si>
  <si>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</si>
  <si>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</si>
  <si>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</si>
  <si>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</si>
  <si>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</si>
  <si>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</si>
  <si>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</si>
  <si>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</si>
  <si>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</si>
  <si>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</si>
  <si>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</si>
  <si>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</si>
  <si>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</si>
  <si>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</si>
  <si>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</si>
  <si>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</si>
  <si>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</si>
  <si>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</si>
  <si>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</si>
  <si>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</si>
  <si>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</si>
  <si>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</si>
  <si>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</si>
  <si>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</si>
  <si>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</si>
  <si>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</si>
  <si>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</si>
  <si>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</si>
  <si>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</si>
  <si>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</si>
  <si>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</si>
  <si>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</si>
  <si>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</si>
  <si>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</si>
  <si>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</si>
  <si>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</si>
  <si>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</si>
  <si>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</si>
  <si>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</si>
  <si>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</si>
  <si>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</si>
  <si>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</si>
  <si>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</si>
  <si>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</si>
  <si>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t>JUSTERTE KVOTER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</si>
  <si>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</si>
  <si>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</si>
  <si>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t>2 Registrert rekreasjonsfiske utgjør 61 tonn, men det legges til grunn at hele avsetningen tas</t>
  </si>
  <si>
    <t>4 Registrert rekreasjonsfiske utgjør 509 tonn, men det legges til grunn at hele avsetningen tas</t>
  </si>
  <si>
    <t>3 Registrert rekreasjonsfiske utgjør 884 tonn, men det legges til grunn at hele avsetningen tas</t>
  </si>
  <si>
    <t>FANGST UKE 46</t>
  </si>
  <si>
    <t>FANGST T.O.M UKE 46</t>
  </si>
  <si>
    <t>RESTKVOTER UKE 46</t>
  </si>
  <si>
    <t>FANGST T.O.M UKE 46 2023</t>
  </si>
  <si>
    <r>
      <t>3</t>
    </r>
    <r>
      <rPr>
        <sz val="9"/>
        <color indexed="8"/>
        <rFont val="Calibri"/>
        <family val="2"/>
      </rPr>
      <t xml:space="preserve"> Det er fisket 7 183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</si>
</sst>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292" zoomScale="82" zoomScaleNormal="85" zoomScaleSheetLayoutView="100" zoomScalePageLayoutView="82" workbookViewId="0">
      <selection activeCell="G335" sqref="G335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03" t="s">
        <v>118</v>
      </c>
      <c r="C2" s="304"/>
      <c r="D2" s="304"/>
      <c r="E2" s="304"/>
      <c r="F2" s="304"/>
      <c r="G2" s="304"/>
      <c r="H2" s="304"/>
      <c r="I2" s="304"/>
      <c r="J2" s="305"/>
    </row>
    <row r="3" spans="1:10" ht="14.9" customHeight="1" x14ac:dyDescent="0.35">
      <c r="A3" s="1"/>
      <c r="B3" s="1"/>
      <c r="C3" s="1" t="s">
        <v>113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113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113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113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113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06"/>
      <c r="C9" s="307"/>
      <c r="D9" s="307"/>
      <c r="E9" s="307"/>
      <c r="F9" s="307"/>
      <c r="G9" s="307"/>
      <c r="H9" s="307"/>
      <c r="I9" s="307"/>
      <c r="J9" s="308"/>
    </row>
    <row r="10" spans="1:10" ht="12" customHeight="1" x14ac:dyDescent="0.3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4"/>
    </row>
    <row r="12" spans="1:10" ht="14.15" customHeight="1" x14ac:dyDescent="0.35">
      <c r="A12" s="1"/>
      <c r="B12" s="254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4"/>
    </row>
    <row r="13" spans="1:10" ht="15.75" customHeight="1" x14ac:dyDescent="0.35">
      <c r="A13" s="1"/>
      <c r="B13" s="254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4"/>
    </row>
    <row r="14" spans="1:10" ht="14.25" customHeight="1" x14ac:dyDescent="0.35">
      <c r="A14" s="1"/>
      <c r="B14" s="254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4"/>
    </row>
    <row r="15" spans="1:10" ht="15.75" customHeight="1" x14ac:dyDescent="0.35">
      <c r="A15" s="1"/>
      <c r="B15" s="254"/>
      <c r="C15" s="115" t="s">
        <v>74</v>
      </c>
      <c r="D15" s="117">
        <v>62179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5" customHeight="1" x14ac:dyDescent="0.35">
      <c r="A16" s="1"/>
      <c r="B16" s="254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4"/>
    </row>
    <row r="17" spans="1:10" ht="30" customHeight="1" x14ac:dyDescent="0.35">
      <c r="A17" s="101"/>
      <c r="B17" s="24"/>
      <c r="C17" s="302" t="s">
        <v>135</v>
      </c>
      <c r="D17" s="302"/>
      <c r="E17" s="302"/>
      <c r="F17" s="302"/>
      <c r="G17" s="302"/>
      <c r="H17" s="302"/>
      <c r="I17" s="101"/>
      <c r="J17" s="157"/>
    </row>
    <row r="18" spans="1:10" ht="15" customHeight="1" x14ac:dyDescent="0.3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3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3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3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3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146</v>
      </c>
      <c r="G22" s="68" t="s">
        <v>147</v>
      </c>
      <c r="H22" s="68" t="s">
        <v>148</v>
      </c>
      <c r="I22" s="68" t="s">
        <v>149</v>
      </c>
      <c r="J22" s="280"/>
    </row>
    <row r="23" spans="1:10" ht="14.15" customHeight="1" x14ac:dyDescent="0.35">
      <c r="A23" s="1"/>
      <c r="B23" s="254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1084.3496400000001</v>
      </c>
      <c r="G23" s="28">
        <f t="shared" si="0"/>
        <v>48160.796450000002</v>
      </c>
      <c r="H23" s="11">
        <f t="shared" si="0"/>
        <v>12651.20355</v>
      </c>
      <c r="I23" s="11">
        <f t="shared" si="0"/>
        <v>71493.850219999993</v>
      </c>
      <c r="J23" s="244"/>
    </row>
    <row r="24" spans="1:10" ht="14.15" customHeight="1" x14ac:dyDescent="0.35">
      <c r="A24" s="1"/>
      <c r="B24" s="254"/>
      <c r="C24" s="44" t="s">
        <v>20</v>
      </c>
      <c r="D24" s="45">
        <v>61689</v>
      </c>
      <c r="E24" s="45">
        <v>60042</v>
      </c>
      <c r="F24" s="23">
        <f>1071.4635</f>
        <v>1071.4635000000001</v>
      </c>
      <c r="G24" s="23">
        <f>47600.63852</f>
        <v>47600.63852</v>
      </c>
      <c r="H24" s="23">
        <f>E24-G24</f>
        <v>12441.36148</v>
      </c>
      <c r="I24" s="23">
        <f>70883.55337</f>
        <v>70883.553369999994</v>
      </c>
      <c r="J24" s="244"/>
    </row>
    <row r="25" spans="1:10" ht="14.15" customHeight="1" x14ac:dyDescent="0.35">
      <c r="A25" s="1"/>
      <c r="B25" s="254"/>
      <c r="C25" s="48" t="s">
        <v>21</v>
      </c>
      <c r="D25" s="49">
        <v>750</v>
      </c>
      <c r="E25" s="49">
        <v>770</v>
      </c>
      <c r="F25" s="171">
        <f>12.88614</f>
        <v>12.886139999999999</v>
      </c>
      <c r="G25" s="23">
        <f>560.15793</f>
        <v>560.15792999999996</v>
      </c>
      <c r="H25" s="23">
        <f>E25-G25</f>
        <v>209.84207000000004</v>
      </c>
      <c r="I25" s="23">
        <f>610.29685</f>
        <v>610.29684999999995</v>
      </c>
      <c r="J25" s="244"/>
    </row>
    <row r="26" spans="1:10" ht="14.15" customHeight="1" x14ac:dyDescent="0.35">
      <c r="A26" s="1"/>
      <c r="B26" s="254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1235.96549</v>
      </c>
      <c r="G26" s="11">
        <f t="shared" si="1"/>
        <v>130018.44166999999</v>
      </c>
      <c r="H26" s="11">
        <f t="shared" si="1"/>
        <v>14855.55833</v>
      </c>
      <c r="I26" s="11">
        <f t="shared" si="1"/>
        <v>195243.76611</v>
      </c>
      <c r="J26" s="244"/>
    </row>
    <row r="27" spans="1:10" ht="15" customHeight="1" x14ac:dyDescent="0.3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1028.0690500000001</v>
      </c>
      <c r="G27" s="132">
        <f t="shared" ref="G27:I27" si="2">G28+G29+G30+G31+G32</f>
        <v>104782.34993999999</v>
      </c>
      <c r="H27" s="132">
        <f t="shared" si="2"/>
        <v>8195.6500599999999</v>
      </c>
      <c r="I27" s="132">
        <f t="shared" si="2"/>
        <v>150819.82673999999</v>
      </c>
      <c r="J27" s="244"/>
    </row>
    <row r="28" spans="1:10" ht="14.15" customHeight="1" x14ac:dyDescent="0.35">
      <c r="A28" s="197"/>
      <c r="B28" s="182"/>
      <c r="C28" s="62" t="s">
        <v>24</v>
      </c>
      <c r="D28" s="63">
        <v>26791</v>
      </c>
      <c r="E28" s="63">
        <v>28630</v>
      </c>
      <c r="F28" s="203">
        <f>255.48962</f>
        <v>255.48962</v>
      </c>
      <c r="G28" s="127">
        <f>27303.65082 - G56</f>
        <v>26020.650819999999</v>
      </c>
      <c r="H28" s="127">
        <f t="shared" ref="H28:H40" si="3">E28-G28</f>
        <v>2609.3491800000011</v>
      </c>
      <c r="I28" s="127">
        <f>38248.81034 - H56</f>
        <v>38248.810340000004</v>
      </c>
      <c r="J28" s="65"/>
    </row>
    <row r="29" spans="1:10" ht="14.15" customHeight="1" x14ac:dyDescent="0.35">
      <c r="A29" s="197"/>
      <c r="B29" s="182"/>
      <c r="C29" s="62" t="s">
        <v>25</v>
      </c>
      <c r="D29" s="63">
        <v>28753</v>
      </c>
      <c r="E29" s="63">
        <v>29665</v>
      </c>
      <c r="F29" s="127">
        <f>220.78173</f>
        <v>220.78173000000001</v>
      </c>
      <c r="G29" s="127">
        <f>30014.33481 - G57</f>
        <v>28312.33481</v>
      </c>
      <c r="H29" s="127">
        <f t="shared" si="3"/>
        <v>1352.6651899999997</v>
      </c>
      <c r="I29" s="127">
        <f>41504.20686 - H57</f>
        <v>41504.206859999998</v>
      </c>
      <c r="J29" s="65"/>
    </row>
    <row r="30" spans="1:10" ht="14.15" customHeight="1" x14ac:dyDescent="0.35">
      <c r="A30" s="197"/>
      <c r="B30" s="182"/>
      <c r="C30" s="62" t="s">
        <v>26</v>
      </c>
      <c r="D30" s="63">
        <v>25789</v>
      </c>
      <c r="E30" s="63">
        <v>27244</v>
      </c>
      <c r="F30" s="127">
        <f>156.91309</f>
        <v>156.91309000000001</v>
      </c>
      <c r="G30" s="127">
        <f>27276.09688 - G58</f>
        <v>25932.096880000001</v>
      </c>
      <c r="H30" s="127">
        <f t="shared" si="3"/>
        <v>1311.903119999999</v>
      </c>
      <c r="I30" s="127">
        <f>37906.8049 - H58</f>
        <v>37906.804900000003</v>
      </c>
      <c r="J30" s="65"/>
    </row>
    <row r="31" spans="1:10" ht="14.15" customHeight="1" x14ac:dyDescent="0.35">
      <c r="A31" s="197"/>
      <c r="B31" s="182"/>
      <c r="C31" s="62" t="s">
        <v>27</v>
      </c>
      <c r="D31" s="63">
        <v>18937</v>
      </c>
      <c r="E31" s="63">
        <v>19339</v>
      </c>
      <c r="F31" s="127">
        <f>23.88461</f>
        <v>23.884609999999999</v>
      </c>
      <c r="G31" s="127">
        <f>20188.26743 - G59</f>
        <v>19058.26743</v>
      </c>
      <c r="H31" s="127">
        <f t="shared" si="3"/>
        <v>280.73257000000012</v>
      </c>
      <c r="I31" s="127">
        <f>25373.00464 - H59</f>
        <v>25373.004639999999</v>
      </c>
      <c r="J31" s="65"/>
    </row>
    <row r="32" spans="1:10" ht="14.15" customHeight="1" x14ac:dyDescent="0.35">
      <c r="A32" s="197"/>
      <c r="B32" s="182"/>
      <c r="C32" s="62" t="s">
        <v>28</v>
      </c>
      <c r="D32" s="63">
        <v>7872</v>
      </c>
      <c r="E32" s="63">
        <v>8100</v>
      </c>
      <c r="F32" s="127">
        <f>F55</f>
        <v>371</v>
      </c>
      <c r="G32" s="127">
        <f>G55</f>
        <v>5459</v>
      </c>
      <c r="H32" s="127">
        <f t="shared" si="3"/>
        <v>2641</v>
      </c>
      <c r="I32" s="127">
        <f>I55</f>
        <v>7787</v>
      </c>
      <c r="J32" s="65"/>
    </row>
    <row r="33" spans="1:13" ht="14.15" customHeight="1" x14ac:dyDescent="0.35">
      <c r="A33" s="66"/>
      <c r="B33" s="53"/>
      <c r="C33" s="56" t="s">
        <v>29</v>
      </c>
      <c r="D33" s="58">
        <v>16997</v>
      </c>
      <c r="E33" s="58">
        <v>16859</v>
      </c>
      <c r="F33" s="132">
        <f>38.25142</f>
        <v>38.251420000000003</v>
      </c>
      <c r="G33" s="132">
        <f>12792.53277</f>
        <v>12792.53277</v>
      </c>
      <c r="H33" s="132">
        <f t="shared" si="3"/>
        <v>4066.4672300000002</v>
      </c>
      <c r="I33" s="132">
        <f>18654.79157</f>
        <v>18654.791570000001</v>
      </c>
      <c r="J33" s="65"/>
    </row>
    <row r="34" spans="1:13" ht="14.15" customHeight="1" x14ac:dyDescent="0.3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169.64501999999999</v>
      </c>
      <c r="G34" s="132">
        <f>G35+G36</f>
        <v>12443.55896</v>
      </c>
      <c r="H34" s="132">
        <f t="shared" si="3"/>
        <v>2593.4410399999997</v>
      </c>
      <c r="I34" s="132">
        <f>I35+I36</f>
        <v>25769.147799999999</v>
      </c>
      <c r="J34" s="65"/>
    </row>
    <row r="35" spans="1:13" ht="14.15" customHeight="1" x14ac:dyDescent="0.3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101.64502</f>
        <v>101.64502</v>
      </c>
      <c r="G35" s="132">
        <f>15334.55896 - G60 - G61</f>
        <v>11683.55896</v>
      </c>
      <c r="H35" s="127">
        <f t="shared" si="3"/>
        <v>2393.4410399999997</v>
      </c>
      <c r="I35" s="127">
        <f>25225.1478 - H60 - H61</f>
        <v>24916.147799999999</v>
      </c>
      <c r="J35" s="65"/>
    </row>
    <row r="36" spans="1:13" ht="14.15" customHeight="1" x14ac:dyDescent="0.35">
      <c r="A36" s="197"/>
      <c r="B36" s="182"/>
      <c r="C36" s="69" t="s">
        <v>32</v>
      </c>
      <c r="D36" s="70">
        <v>960</v>
      </c>
      <c r="E36" s="70">
        <v>960</v>
      </c>
      <c r="F36" s="71">
        <f>F60</f>
        <v>68</v>
      </c>
      <c r="G36" s="71">
        <f>G60</f>
        <v>760</v>
      </c>
      <c r="H36" s="71">
        <f t="shared" si="3"/>
        <v>200</v>
      </c>
      <c r="I36" s="71">
        <f>I60</f>
        <v>853</v>
      </c>
      <c r="J36" s="65"/>
    </row>
    <row r="37" spans="1:13" ht="15.75" customHeight="1" x14ac:dyDescent="0.35">
      <c r="A37" s="1"/>
      <c r="B37" s="254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4"/>
    </row>
    <row r="38" spans="1:13" ht="14.15" customHeight="1" x14ac:dyDescent="0.35">
      <c r="A38" s="1"/>
      <c r="B38" s="254"/>
      <c r="C38" s="73" t="s">
        <v>34</v>
      </c>
      <c r="D38" s="143">
        <v>855</v>
      </c>
      <c r="E38" s="143">
        <v>855</v>
      </c>
      <c r="F38" s="98">
        <f>2.7598</f>
        <v>2.7597999999999998</v>
      </c>
      <c r="G38" s="98">
        <f>504.82456</f>
        <v>504.82456000000002</v>
      </c>
      <c r="H38" s="98">
        <f t="shared" si="3"/>
        <v>350.17543999999998</v>
      </c>
      <c r="I38" s="98">
        <f>544.69202</f>
        <v>544.69201999999996</v>
      </c>
      <c r="J38" s="244"/>
    </row>
    <row r="39" spans="1:13" ht="17.25" customHeight="1" x14ac:dyDescent="0.35">
      <c r="A39" s="1"/>
      <c r="B39" s="254"/>
      <c r="C39" s="73" t="s">
        <v>35</v>
      </c>
      <c r="D39" s="143">
        <v>3000</v>
      </c>
      <c r="E39" s="143">
        <v>3000</v>
      </c>
      <c r="F39" s="98">
        <f>F61</f>
        <v>13</v>
      </c>
      <c r="G39" s="98">
        <f>G61</f>
        <v>2891</v>
      </c>
      <c r="H39" s="98">
        <f t="shared" si="3"/>
        <v>109</v>
      </c>
      <c r="I39" s="98">
        <f>I61</f>
        <v>4458</v>
      </c>
      <c r="J39" s="244"/>
    </row>
    <row r="40" spans="1:13" ht="17.25" customHeight="1" x14ac:dyDescent="0.35">
      <c r="A40" s="1"/>
      <c r="B40" s="254"/>
      <c r="C40" s="73" t="s">
        <v>36</v>
      </c>
      <c r="D40" s="143">
        <v>7000</v>
      </c>
      <c r="E40" s="143">
        <v>7000</v>
      </c>
      <c r="F40" s="98">
        <f>1.06554</f>
        <v>1.0655399999999999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35">
      <c r="A41" s="1"/>
      <c r="B41" s="254"/>
      <c r="C41" s="73" t="s">
        <v>38</v>
      </c>
      <c r="D41" s="143">
        <v>400</v>
      </c>
      <c r="E41" s="143">
        <v>400</v>
      </c>
      <c r="F41" s="98">
        <f>3.1983</f>
        <v>3.1983000000000001</v>
      </c>
      <c r="G41" s="98">
        <f>351.5783</f>
        <v>351.57830000000001</v>
      </c>
      <c r="H41" s="98">
        <f>E41-G41</f>
        <v>48.421699999999987</v>
      </c>
      <c r="I41" s="98">
        <f>358.6062</f>
        <v>358.6062</v>
      </c>
      <c r="J41" s="244"/>
    </row>
    <row r="42" spans="1:13" ht="17.25" customHeight="1" x14ac:dyDescent="0.35">
      <c r="A42" s="1"/>
      <c r="B42" s="254"/>
      <c r="C42" s="73" t="s">
        <v>125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4"/>
      <c r="M42" s="225"/>
    </row>
    <row r="43" spans="1:13" ht="14.15" customHeight="1" x14ac:dyDescent="0.35">
      <c r="A43" s="1"/>
      <c r="B43" s="254"/>
      <c r="C43" s="73" t="s">
        <v>39</v>
      </c>
      <c r="D43" s="143"/>
      <c r="E43" s="139"/>
      <c r="F43" s="139">
        <f>2.764</f>
        <v>2.7639999999999998</v>
      </c>
      <c r="G43" s="139">
        <f>178.64389</f>
        <v>178.64389</v>
      </c>
      <c r="H43" s="139">
        <f t="shared" ref="H43" si="4">E43-G43</f>
        <v>-178.64389</v>
      </c>
      <c r="I43" s="139">
        <f>158.67277</f>
        <v>158.67277000000001</v>
      </c>
      <c r="J43" s="244"/>
    </row>
    <row r="44" spans="1:13" ht="16.5" customHeight="1" x14ac:dyDescent="0.35">
      <c r="A44" s="1"/>
      <c r="B44" s="254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2343.10277</v>
      </c>
      <c r="G44" s="76">
        <f t="shared" si="5"/>
        <v>189453.65007</v>
      </c>
      <c r="H44" s="76">
        <f t="shared" si="5"/>
        <v>29587.349929999997</v>
      </c>
      <c r="I44" s="76">
        <f t="shared" si="5"/>
        <v>280004.37891999999</v>
      </c>
      <c r="J44" s="244"/>
    </row>
    <row r="45" spans="1:13" ht="14.15" customHeight="1" x14ac:dyDescent="0.35">
      <c r="A45" s="101"/>
      <c r="B45" s="24"/>
      <c r="C45" s="77" t="s">
        <v>126</v>
      </c>
      <c r="D45" s="258"/>
      <c r="E45" s="258"/>
      <c r="F45" s="80"/>
      <c r="G45" s="80"/>
      <c r="H45" s="228"/>
      <c r="I45" s="228"/>
      <c r="J45" s="81"/>
    </row>
    <row r="46" spans="1:13" ht="14.15" customHeight="1" x14ac:dyDescent="0.3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5" customHeight="1" x14ac:dyDescent="0.35">
      <c r="A47" s="101"/>
      <c r="B47" s="24"/>
      <c r="C47" s="161" t="s">
        <v>145</v>
      </c>
      <c r="D47" s="258"/>
      <c r="E47" s="258"/>
      <c r="F47" s="258"/>
      <c r="G47" s="80"/>
      <c r="H47" s="178"/>
      <c r="I47" s="178"/>
      <c r="J47" s="120"/>
    </row>
    <row r="48" spans="1:13" ht="14.15" customHeight="1" x14ac:dyDescent="0.35">
      <c r="A48" s="101"/>
      <c r="B48" s="24"/>
      <c r="C48" s="161" t="s">
        <v>127</v>
      </c>
      <c r="D48" s="258"/>
      <c r="E48" s="258"/>
      <c r="F48" s="258"/>
      <c r="G48" s="258"/>
      <c r="H48" s="178"/>
      <c r="I48" s="178"/>
      <c r="J48" s="120"/>
    </row>
    <row r="49" spans="1:10" ht="14.15" customHeight="1" x14ac:dyDescent="0.3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0" ht="14.15" customHeight="1" x14ac:dyDescent="0.3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0" ht="20.25" customHeight="1" x14ac:dyDescent="0.3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0" ht="33" customHeight="1" x14ac:dyDescent="0.3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35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0" ht="61.5" customHeight="1" x14ac:dyDescent="0.35">
      <c r="A54" s="101"/>
      <c r="B54" s="24"/>
      <c r="C54" s="86" t="s">
        <v>16</v>
      </c>
      <c r="D54" s="68" t="s">
        <v>44</v>
      </c>
      <c r="E54" s="68" t="s">
        <v>139</v>
      </c>
      <c r="F54" s="68" t="s">
        <v>146</v>
      </c>
      <c r="G54" s="68" t="s">
        <v>147</v>
      </c>
      <c r="H54" s="68" t="s">
        <v>148</v>
      </c>
      <c r="I54" s="68" t="s">
        <v>149</v>
      </c>
      <c r="J54" s="244"/>
    </row>
    <row r="55" spans="1:10" ht="14.15" customHeight="1" x14ac:dyDescent="0.35">
      <c r="A55" s="101"/>
      <c r="B55" s="24"/>
      <c r="C55" s="16" t="s">
        <v>45</v>
      </c>
      <c r="D55" s="295">
        <v>7872</v>
      </c>
      <c r="E55" s="295">
        <v>8100</v>
      </c>
      <c r="F55" s="11">
        <f>F59+F58+F57+F56</f>
        <v>371</v>
      </c>
      <c r="G55" s="11">
        <f>G59+G58+G57+G56</f>
        <v>5459</v>
      </c>
      <c r="H55" s="295">
        <f>E55-G55</f>
        <v>2641</v>
      </c>
      <c r="I55" s="11">
        <f>I59+I58+I57+I56</f>
        <v>7787</v>
      </c>
      <c r="J55" s="120"/>
    </row>
    <row r="56" spans="1:10" ht="14.15" customHeight="1" x14ac:dyDescent="0.35">
      <c r="A56" s="101"/>
      <c r="B56" s="24"/>
      <c r="C56" s="62" t="s">
        <v>24</v>
      </c>
      <c r="D56" s="296"/>
      <c r="E56" s="296"/>
      <c r="F56" s="127">
        <v>169</v>
      </c>
      <c r="G56" s="127">
        <v>1283</v>
      </c>
      <c r="H56" s="296"/>
      <c r="I56" s="127">
        <v>1324</v>
      </c>
      <c r="J56" s="120"/>
    </row>
    <row r="57" spans="1:10" ht="14.15" customHeight="1" x14ac:dyDescent="0.35">
      <c r="A57" s="101"/>
      <c r="B57" s="24"/>
      <c r="C57" s="62" t="s">
        <v>25</v>
      </c>
      <c r="D57" s="296"/>
      <c r="E57" s="296"/>
      <c r="F57" s="127">
        <v>156</v>
      </c>
      <c r="G57" s="127">
        <v>1702</v>
      </c>
      <c r="H57" s="296"/>
      <c r="I57" s="127">
        <v>2587</v>
      </c>
      <c r="J57" s="244"/>
    </row>
    <row r="58" spans="1:10" ht="14.15" customHeight="1" x14ac:dyDescent="0.35">
      <c r="A58" s="101"/>
      <c r="B58" s="24"/>
      <c r="C58" s="62" t="s">
        <v>26</v>
      </c>
      <c r="D58" s="296"/>
      <c r="E58" s="296"/>
      <c r="F58" s="127">
        <v>24</v>
      </c>
      <c r="G58" s="127">
        <v>1344</v>
      </c>
      <c r="H58" s="296"/>
      <c r="I58" s="127">
        <v>2596</v>
      </c>
      <c r="J58" s="120"/>
    </row>
    <row r="59" spans="1:10" ht="14.15" customHeight="1" x14ac:dyDescent="0.35">
      <c r="A59" s="101"/>
      <c r="B59" s="24"/>
      <c r="C59" s="87" t="s">
        <v>27</v>
      </c>
      <c r="D59" s="297"/>
      <c r="E59" s="297"/>
      <c r="F59" s="192">
        <v>22</v>
      </c>
      <c r="G59" s="192">
        <v>1130</v>
      </c>
      <c r="H59" s="297"/>
      <c r="I59" s="192">
        <v>1280</v>
      </c>
      <c r="J59" s="120"/>
    </row>
    <row r="60" spans="1:10" ht="14.15" customHeight="1" x14ac:dyDescent="0.35">
      <c r="A60" s="101"/>
      <c r="B60" s="24"/>
      <c r="C60" s="88" t="s">
        <v>46</v>
      </c>
      <c r="D60" s="95">
        <v>960</v>
      </c>
      <c r="E60" s="95">
        <v>960</v>
      </c>
      <c r="F60" s="95">
        <v>68</v>
      </c>
      <c r="G60" s="95">
        <v>760</v>
      </c>
      <c r="H60" s="95">
        <f>E60-G60</f>
        <v>200</v>
      </c>
      <c r="I60" s="95">
        <v>853</v>
      </c>
      <c r="J60" s="244"/>
    </row>
    <row r="61" spans="1:10" ht="14.15" customHeight="1" x14ac:dyDescent="0.35">
      <c r="A61" s="101"/>
      <c r="B61" s="24"/>
      <c r="C61" s="142" t="s">
        <v>47</v>
      </c>
      <c r="D61" s="139">
        <v>3000</v>
      </c>
      <c r="E61" s="139">
        <v>3000</v>
      </c>
      <c r="F61" s="139">
        <v>13</v>
      </c>
      <c r="G61" s="139">
        <v>2891</v>
      </c>
      <c r="H61" s="139">
        <f>E61-G61</f>
        <v>109</v>
      </c>
      <c r="I61" s="139">
        <v>4458</v>
      </c>
      <c r="J61" s="120"/>
    </row>
    <row r="62" spans="1:10" ht="14.15" customHeight="1" x14ac:dyDescent="0.35">
      <c r="A62" s="101"/>
      <c r="B62" s="24"/>
      <c r="C62" s="77" t="s">
        <v>128</v>
      </c>
      <c r="D62" s="258"/>
      <c r="E62" s="258"/>
      <c r="F62" s="258"/>
      <c r="G62" s="258"/>
      <c r="H62" s="178"/>
      <c r="I62" s="178"/>
      <c r="J62" s="120"/>
    </row>
    <row r="63" spans="1:10" ht="14.15" customHeight="1" x14ac:dyDescent="0.3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5" customHeight="1" x14ac:dyDescent="0.3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3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5">
      <c r="B67" s="1"/>
      <c r="C67" s="288"/>
      <c r="D67" s="119"/>
      <c r="E67" s="119"/>
      <c r="F67" s="119"/>
      <c r="G67" s="119"/>
      <c r="H67" s="1"/>
      <c r="I67" s="1"/>
      <c r="J67" s="1"/>
    </row>
    <row r="68" spans="1:10" x14ac:dyDescent="0.35">
      <c r="B68" s="1" t="s">
        <v>113</v>
      </c>
      <c r="C68" s="288"/>
      <c r="D68" s="119"/>
      <c r="E68" s="119"/>
      <c r="F68" s="119"/>
      <c r="G68" s="119"/>
      <c r="H68" s="1"/>
      <c r="I68" s="1"/>
      <c r="J68" s="1"/>
    </row>
    <row r="71" spans="1:10" ht="0.75" customHeight="1" x14ac:dyDescent="0.35"/>
    <row r="77" spans="1:10" ht="204" customHeight="1" x14ac:dyDescent="0.35"/>
    <row r="78" spans="1:10" ht="17.149999999999999" customHeight="1" x14ac:dyDescent="0.3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35">
      <c r="B79" s="2"/>
      <c r="C79" s="219"/>
      <c r="D79" s="2"/>
      <c r="E79" s="2"/>
      <c r="F79" s="2"/>
      <c r="G79" s="2"/>
      <c r="H79" s="2"/>
      <c r="I79" s="2"/>
      <c r="J79" s="2"/>
    </row>
    <row r="80" spans="1:10" ht="14.15" customHeight="1" x14ac:dyDescent="0.3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3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4"/>
    </row>
    <row r="82" spans="1:10" ht="15" customHeight="1" x14ac:dyDescent="0.35">
      <c r="B82" s="254"/>
      <c r="C82" s="115" t="s">
        <v>6</v>
      </c>
      <c r="D82" s="117">
        <v>70605</v>
      </c>
      <c r="E82" s="259" t="s">
        <v>4</v>
      </c>
      <c r="F82" s="114">
        <v>26707</v>
      </c>
      <c r="G82" s="191" t="s">
        <v>5</v>
      </c>
      <c r="H82" s="114">
        <v>7843</v>
      </c>
      <c r="I82" s="178"/>
      <c r="J82" s="244"/>
    </row>
    <row r="83" spans="1:10" ht="15" customHeight="1" x14ac:dyDescent="0.35">
      <c r="B83" s="254"/>
      <c r="C83" s="115" t="s">
        <v>9</v>
      </c>
      <c r="D83" s="117">
        <v>61605</v>
      </c>
      <c r="E83" s="248" t="s">
        <v>7</v>
      </c>
      <c r="F83" s="117">
        <v>43575</v>
      </c>
      <c r="G83" s="191" t="s">
        <v>8</v>
      </c>
      <c r="H83" s="117">
        <v>32246</v>
      </c>
      <c r="I83" s="178"/>
      <c r="J83" s="244"/>
    </row>
    <row r="84" spans="1:10" ht="14.15" customHeight="1" x14ac:dyDescent="0.35">
      <c r="B84" s="254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4"/>
    </row>
    <row r="85" spans="1:10" ht="12" customHeight="1" x14ac:dyDescent="0.35">
      <c r="B85" s="254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4"/>
    </row>
    <row r="86" spans="1:10" ht="14.25" customHeight="1" x14ac:dyDescent="0.35">
      <c r="A86" s="1"/>
      <c r="B86" s="254"/>
      <c r="C86" s="101" t="s">
        <v>136</v>
      </c>
      <c r="D86" s="220"/>
      <c r="E86" s="220"/>
      <c r="F86" s="220"/>
      <c r="G86" s="220"/>
      <c r="H86" s="220"/>
      <c r="I86" s="236"/>
      <c r="J86" s="120"/>
    </row>
    <row r="87" spans="1:10" ht="6" customHeight="1" x14ac:dyDescent="0.3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5" customHeight="1" x14ac:dyDescent="0.3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3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4">
      <c r="A90" s="1"/>
      <c r="B90" s="254"/>
      <c r="C90" s="290"/>
      <c r="D90" s="290"/>
      <c r="E90" s="290"/>
      <c r="F90" s="290"/>
      <c r="G90" s="290"/>
      <c r="H90" s="290"/>
      <c r="I90" s="290"/>
      <c r="J90" s="19"/>
    </row>
    <row r="91" spans="1:10" ht="54" customHeight="1" x14ac:dyDescent="0.3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146</v>
      </c>
      <c r="G91" s="15" t="s">
        <v>147</v>
      </c>
      <c r="H91" s="15" t="s">
        <v>148</v>
      </c>
      <c r="I91" s="15" t="s">
        <v>149</v>
      </c>
      <c r="J91" s="120"/>
    </row>
    <row r="92" spans="1:10" ht="14.15" customHeight="1" x14ac:dyDescent="0.35">
      <c r="A92" s="1"/>
      <c r="B92" s="254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230.69200000000001</v>
      </c>
      <c r="G92" s="11">
        <f t="shared" si="6"/>
        <v>24435.751089999998</v>
      </c>
      <c r="H92" s="11">
        <f t="shared" si="6"/>
        <v>1525.2489100000016</v>
      </c>
      <c r="I92" s="11">
        <f t="shared" si="6"/>
        <v>43070.129379999998</v>
      </c>
      <c r="J92" s="244"/>
    </row>
    <row r="93" spans="1:10" ht="15" customHeight="1" x14ac:dyDescent="0.35">
      <c r="A93" s="1"/>
      <c r="B93" s="254"/>
      <c r="C93" s="44" t="s">
        <v>20</v>
      </c>
      <c r="D93" s="45">
        <v>25957</v>
      </c>
      <c r="E93" s="45">
        <v>25136</v>
      </c>
      <c r="F93" s="23">
        <f>224.161</f>
        <v>224.161</v>
      </c>
      <c r="G93" s="23">
        <f>23633.78174</f>
        <v>23633.781739999999</v>
      </c>
      <c r="H93" s="23">
        <f>E93-G93</f>
        <v>1502.2182600000015</v>
      </c>
      <c r="I93" s="23">
        <f>42444.25679</f>
        <v>42444.256789999999</v>
      </c>
      <c r="J93" s="244"/>
    </row>
    <row r="94" spans="1:10" ht="14.15" customHeight="1" x14ac:dyDescent="0.35">
      <c r="A94" s="1"/>
      <c r="B94" s="254"/>
      <c r="C94" s="64" t="s">
        <v>21</v>
      </c>
      <c r="D94" s="49">
        <v>750</v>
      </c>
      <c r="E94" s="49">
        <v>825</v>
      </c>
      <c r="F94" s="50">
        <f>6.531</f>
        <v>6.5309999999999997</v>
      </c>
      <c r="G94" s="50">
        <f>801.96935</f>
        <v>801.96934999999996</v>
      </c>
      <c r="H94" s="50">
        <f>E94-G94</f>
        <v>23.030650000000037</v>
      </c>
      <c r="I94" s="50">
        <f>625.87259</f>
        <v>625.87258999999995</v>
      </c>
      <c r="J94" s="244"/>
    </row>
    <row r="95" spans="1:10" ht="15.75" customHeight="1" x14ac:dyDescent="0.3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353.77330000000006</v>
      </c>
      <c r="G95" s="11">
        <f t="shared" si="7"/>
        <v>42493.715429999997</v>
      </c>
      <c r="H95" s="11">
        <f t="shared" si="7"/>
        <v>6500.2845700000007</v>
      </c>
      <c r="I95" s="11">
        <f t="shared" si="7"/>
        <v>36875.329729999998</v>
      </c>
      <c r="J95" s="244"/>
    </row>
    <row r="96" spans="1:10" ht="14.15" customHeight="1" x14ac:dyDescent="0.3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274.61086000000006</v>
      </c>
      <c r="G96" s="132">
        <f t="shared" si="8"/>
        <v>33660.266009999992</v>
      </c>
      <c r="H96" s="132">
        <f t="shared" si="8"/>
        <v>3833.7339900000006</v>
      </c>
      <c r="I96" s="132">
        <f t="shared" si="8"/>
        <v>25016.47363</v>
      </c>
      <c r="J96" s="244"/>
    </row>
    <row r="97" spans="1:10" ht="14.15" customHeight="1" x14ac:dyDescent="0.35">
      <c r="A97" s="197"/>
      <c r="B97" s="182"/>
      <c r="C97" s="62" t="s">
        <v>24</v>
      </c>
      <c r="D97" s="63">
        <v>8940</v>
      </c>
      <c r="E97" s="63">
        <v>10015</v>
      </c>
      <c r="F97" s="127">
        <f>141.85969</f>
        <v>141.85969</v>
      </c>
      <c r="G97" s="127">
        <f>5842.63515</f>
        <v>5842.6351500000001</v>
      </c>
      <c r="H97" s="127">
        <f t="shared" ref="H97:H104" si="9">E97-G97</f>
        <v>4172.3648499999999</v>
      </c>
      <c r="I97" s="127">
        <f>4681.7915</f>
        <v>4681.7915000000003</v>
      </c>
      <c r="J97" s="244"/>
    </row>
    <row r="98" spans="1:10" ht="14.15" customHeight="1" x14ac:dyDescent="0.35">
      <c r="A98" s="197"/>
      <c r="B98" s="182"/>
      <c r="C98" s="62" t="s">
        <v>51</v>
      </c>
      <c r="D98" s="63">
        <v>9469</v>
      </c>
      <c r="E98" s="63">
        <v>10614</v>
      </c>
      <c r="F98" s="127">
        <f>37.88996</f>
        <v>37.889960000000002</v>
      </c>
      <c r="G98" s="127">
        <f>10683.77159</f>
        <v>10683.77159</v>
      </c>
      <c r="H98" s="127">
        <f t="shared" si="9"/>
        <v>-69.771590000000288</v>
      </c>
      <c r="I98" s="127">
        <f>7901.7157</f>
        <v>7901.7156999999997</v>
      </c>
      <c r="J98" s="244"/>
    </row>
    <row r="99" spans="1:10" ht="14.15" customHeight="1" x14ac:dyDescent="0.35">
      <c r="A99" s="197"/>
      <c r="B99" s="182"/>
      <c r="C99" s="62" t="s">
        <v>52</v>
      </c>
      <c r="D99" s="63">
        <v>9029</v>
      </c>
      <c r="E99" s="63">
        <v>10112</v>
      </c>
      <c r="F99" s="127">
        <f>79.87178</f>
        <v>79.871780000000001</v>
      </c>
      <c r="G99" s="127">
        <f>10076.70604</f>
        <v>10076.706039999999</v>
      </c>
      <c r="H99" s="127">
        <f t="shared" si="9"/>
        <v>35.29396000000088</v>
      </c>
      <c r="I99" s="127">
        <f>7130.84571</f>
        <v>7130.8457099999996</v>
      </c>
      <c r="J99" s="244"/>
    </row>
    <row r="100" spans="1:10" ht="14.15" customHeight="1" x14ac:dyDescent="0.35">
      <c r="A100" s="197"/>
      <c r="B100" s="182"/>
      <c r="C100" s="62" t="s">
        <v>27</v>
      </c>
      <c r="D100" s="63">
        <v>6030</v>
      </c>
      <c r="E100" s="63">
        <v>6753</v>
      </c>
      <c r="F100" s="127">
        <f>14.98943</f>
        <v>14.98943</v>
      </c>
      <c r="G100" s="127">
        <f>7057.15323</f>
        <v>7057.1532299999999</v>
      </c>
      <c r="H100" s="127">
        <f t="shared" si="9"/>
        <v>-304.15322999999989</v>
      </c>
      <c r="I100" s="127">
        <f>5302.12072</f>
        <v>5302.1207199999999</v>
      </c>
      <c r="J100" s="244"/>
    </row>
    <row r="101" spans="1:10" ht="14.15" customHeight="1" x14ac:dyDescent="0.35">
      <c r="A101" s="197"/>
      <c r="B101" s="182"/>
      <c r="C101" s="56" t="s">
        <v>53</v>
      </c>
      <c r="D101" s="58">
        <v>7843</v>
      </c>
      <c r="E101" s="58">
        <v>7596</v>
      </c>
      <c r="F101" s="132">
        <f>1.9971</f>
        <v>1.9971000000000001</v>
      </c>
      <c r="G101" s="132">
        <f>6118.84595</f>
        <v>6118.8459499999999</v>
      </c>
      <c r="H101" s="132">
        <f t="shared" si="9"/>
        <v>1477.1540500000001</v>
      </c>
      <c r="I101" s="132">
        <f>9531.67368</f>
        <v>9531.6736799999999</v>
      </c>
      <c r="J101" s="244"/>
    </row>
    <row r="102" spans="1:10" ht="15.75" customHeight="1" x14ac:dyDescent="0.35">
      <c r="A102" s="1"/>
      <c r="B102" s="53"/>
      <c r="C102" s="38" t="s">
        <v>11</v>
      </c>
      <c r="D102" s="61">
        <v>3486</v>
      </c>
      <c r="E102" s="61">
        <v>3904</v>
      </c>
      <c r="F102" s="75">
        <f>77.16534</f>
        <v>77.16534</v>
      </c>
      <c r="G102" s="75">
        <f>2714.60347</f>
        <v>2714.60347</v>
      </c>
      <c r="H102" s="75">
        <f t="shared" si="9"/>
        <v>1189.39653</v>
      </c>
      <c r="I102" s="75">
        <f>2327.18242</f>
        <v>2327.1824200000001</v>
      </c>
      <c r="J102" s="244"/>
    </row>
    <row r="103" spans="1:10" ht="15.75" customHeight="1" x14ac:dyDescent="0.35">
      <c r="A103" s="1"/>
      <c r="B103" s="53"/>
      <c r="C103" s="73" t="s">
        <v>34</v>
      </c>
      <c r="D103" s="89">
        <v>319</v>
      </c>
      <c r="E103" s="89">
        <v>319</v>
      </c>
      <c r="F103" s="98">
        <f>0.05016</f>
        <v>5.0160000000000003E-2</v>
      </c>
      <c r="G103" s="98">
        <f>36.52394</f>
        <v>36.523940000000003</v>
      </c>
      <c r="H103" s="98">
        <f t="shared" si="9"/>
        <v>282.47606000000002</v>
      </c>
      <c r="I103" s="98">
        <f>11.75535</f>
        <v>11.75535</v>
      </c>
      <c r="J103" s="244"/>
    </row>
    <row r="104" spans="1:10" ht="18" customHeight="1" x14ac:dyDescent="0.35">
      <c r="A104" s="1"/>
      <c r="B104" s="254"/>
      <c r="C104" s="73" t="s">
        <v>54</v>
      </c>
      <c r="D104" s="143">
        <v>300</v>
      </c>
      <c r="E104" s="143">
        <v>300</v>
      </c>
      <c r="F104" s="139">
        <f>0.14795</f>
        <v>0.14795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35">
      <c r="A105" s="1"/>
      <c r="B105" s="254"/>
      <c r="C105" s="93" t="s">
        <v>38</v>
      </c>
      <c r="D105" s="143">
        <v>50</v>
      </c>
      <c r="E105" s="143">
        <v>50</v>
      </c>
      <c r="F105" s="98">
        <f>3.8995</f>
        <v>3.8995000000000002</v>
      </c>
      <c r="G105" s="98">
        <f>53.8165</f>
        <v>53.816499999999998</v>
      </c>
      <c r="H105" s="139">
        <f>E105-G105</f>
        <v>-3.8164999999999978</v>
      </c>
      <c r="I105" s="98">
        <f>13.78856</f>
        <v>13.78856</v>
      </c>
      <c r="J105" s="244"/>
    </row>
    <row r="106" spans="1:10" ht="18" customHeight="1" x14ac:dyDescent="0.35">
      <c r="A106" s="1"/>
      <c r="B106" s="254"/>
      <c r="C106" s="93" t="s">
        <v>55</v>
      </c>
      <c r="D106" s="143"/>
      <c r="E106" s="139"/>
      <c r="F106" s="139">
        <f>3.41</f>
        <v>3.41</v>
      </c>
      <c r="G106" s="139">
        <f>64.8235</f>
        <v>64.823499999999996</v>
      </c>
      <c r="H106" s="139">
        <f t="shared" ref="H106" si="10">E106-G106</f>
        <v>-64.823499999999996</v>
      </c>
      <c r="I106" s="139">
        <f>98.07376</f>
        <v>98.073759999999993</v>
      </c>
      <c r="J106" s="244"/>
    </row>
    <row r="107" spans="1:10" ht="16.5" customHeight="1" x14ac:dyDescent="0.35">
      <c r="A107" s="1"/>
      <c r="B107" s="254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591.97291000000007</v>
      </c>
      <c r="G107" s="76">
        <f t="shared" si="12"/>
        <v>67384.630459999986</v>
      </c>
      <c r="H107" s="76">
        <f t="shared" si="12"/>
        <v>8239.3695400000015</v>
      </c>
      <c r="I107" s="76">
        <f t="shared" si="12"/>
        <v>80369.076780000003</v>
      </c>
      <c r="J107" s="244"/>
    </row>
    <row r="108" spans="1:10" ht="13.5" customHeight="1" x14ac:dyDescent="0.35">
      <c r="A108" s="1"/>
      <c r="B108" s="254"/>
      <c r="C108" s="77" t="s">
        <v>129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35">
      <c r="A109" s="1"/>
      <c r="B109" s="24"/>
      <c r="C109" s="161" t="s">
        <v>143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35">
      <c r="A110" s="1"/>
      <c r="B110" s="24"/>
      <c r="C110" s="161" t="s">
        <v>130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3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3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35">
      <c r="A113" s="1"/>
      <c r="B113" s="101"/>
      <c r="C113" s="1" t="s">
        <v>113</v>
      </c>
      <c r="D113" s="228"/>
      <c r="E113" s="228"/>
      <c r="F113" s="228"/>
      <c r="G113" s="228"/>
      <c r="H113" s="228"/>
      <c r="I113" s="101"/>
      <c r="J113" s="101" t="s">
        <v>113</v>
      </c>
    </row>
    <row r="114" spans="1:10" ht="14.25" customHeight="1" x14ac:dyDescent="0.35">
      <c r="A114" s="1"/>
      <c r="B114" s="101"/>
      <c r="C114" s="101" t="s">
        <v>113</v>
      </c>
      <c r="D114" s="101" t="s">
        <v>113</v>
      </c>
      <c r="E114" s="101"/>
      <c r="F114" s="101"/>
      <c r="G114" s="101"/>
      <c r="H114" s="101"/>
      <c r="I114" s="101"/>
      <c r="J114" s="101" t="s">
        <v>113</v>
      </c>
    </row>
    <row r="115" spans="1:10" ht="17.149999999999999" customHeight="1" x14ac:dyDescent="0.3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3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5" customHeight="1" x14ac:dyDescent="0.3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3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5" customHeight="1" x14ac:dyDescent="0.35">
      <c r="A119" s="1"/>
      <c r="B119" s="254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4"/>
    </row>
    <row r="120" spans="1:10" ht="14.15" customHeight="1" x14ac:dyDescent="0.35">
      <c r="A120" s="1"/>
      <c r="B120" s="254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4"/>
    </row>
    <row r="121" spans="1:10" ht="14.15" customHeight="1" x14ac:dyDescent="0.35">
      <c r="A121" s="1"/>
      <c r="B121" s="254"/>
      <c r="C121" s="248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4"/>
    </row>
    <row r="122" spans="1:10" ht="14.15" customHeight="1" x14ac:dyDescent="0.3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4"/>
    </row>
    <row r="123" spans="1:10" ht="12" customHeight="1" x14ac:dyDescent="0.35">
      <c r="A123" s="1"/>
      <c r="B123" s="254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4"/>
    </row>
    <row r="124" spans="1:10" ht="12" customHeight="1" x14ac:dyDescent="0.35">
      <c r="A124" s="101"/>
      <c r="B124" s="24"/>
      <c r="C124" s="101" t="s">
        <v>114</v>
      </c>
      <c r="D124" s="101"/>
      <c r="E124" s="101"/>
      <c r="F124" s="101"/>
      <c r="G124" s="101"/>
      <c r="H124" s="101"/>
      <c r="I124" s="101"/>
      <c r="J124" s="157"/>
    </row>
    <row r="125" spans="1:10" ht="17.149999999999999" customHeight="1" x14ac:dyDescent="0.3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3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3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146</v>
      </c>
      <c r="G127" s="15" t="s">
        <v>147</v>
      </c>
      <c r="H127" s="15" t="s">
        <v>148</v>
      </c>
      <c r="I127" s="15" t="s">
        <v>149</v>
      </c>
      <c r="J127" s="280"/>
    </row>
    <row r="128" spans="1:10" ht="14.15" customHeight="1" x14ac:dyDescent="0.35">
      <c r="A128" s="1"/>
      <c r="B128" s="254"/>
      <c r="C128" s="16" t="s">
        <v>62</v>
      </c>
      <c r="D128" s="28">
        <f>D129+D130+D131</f>
        <v>75860</v>
      </c>
      <c r="E128" s="28">
        <f>E129+E130+E131</f>
        <v>72627</v>
      </c>
      <c r="F128" s="11">
        <f t="shared" ref="F128:I128" si="13">F129+F130+F131</f>
        <v>967.17544999999996</v>
      </c>
      <c r="G128" s="11">
        <f t="shared" si="13"/>
        <v>56749.595839999994</v>
      </c>
      <c r="H128" s="11">
        <f t="shared" si="13"/>
        <v>15877.40416</v>
      </c>
      <c r="I128" s="11">
        <f t="shared" si="13"/>
        <v>65765.60858</v>
      </c>
      <c r="J128" s="244"/>
    </row>
    <row r="129" spans="1:10" ht="14.15" customHeight="1" x14ac:dyDescent="0.35">
      <c r="A129" s="1"/>
      <c r="B129" s="254"/>
      <c r="C129" s="44" t="s">
        <v>20</v>
      </c>
      <c r="D129" s="45">
        <v>60688</v>
      </c>
      <c r="E129" s="45">
        <v>57854</v>
      </c>
      <c r="F129" s="23">
        <f>474.9711</f>
        <v>474.97109999999998</v>
      </c>
      <c r="G129" s="23">
        <f>50491.69629</f>
        <v>50491.69629</v>
      </c>
      <c r="H129" s="23">
        <f>E129-G129</f>
        <v>7362.3037100000001</v>
      </c>
      <c r="I129" s="23">
        <f>57508.22843</f>
        <v>57508.228430000003</v>
      </c>
      <c r="J129" s="244"/>
    </row>
    <row r="130" spans="1:10" ht="15" customHeight="1" x14ac:dyDescent="0.35">
      <c r="A130" s="1"/>
      <c r="B130" s="254"/>
      <c r="C130" s="44" t="s">
        <v>21</v>
      </c>
      <c r="D130" s="45">
        <v>14672</v>
      </c>
      <c r="E130" s="45">
        <v>14273</v>
      </c>
      <c r="F130" s="23">
        <f>492.20435</f>
        <v>492.20434999999998</v>
      </c>
      <c r="G130" s="23">
        <f>6181.5724</f>
        <v>6181.5724</v>
      </c>
      <c r="H130" s="23">
        <f>E130-G130</f>
        <v>8091.4276</v>
      </c>
      <c r="I130" s="23">
        <f>8102.0941</f>
        <v>8102.0941000000003</v>
      </c>
      <c r="J130" s="244"/>
    </row>
    <row r="131" spans="1:10" ht="13.5" customHeight="1" x14ac:dyDescent="0.35">
      <c r="A131" s="1"/>
      <c r="B131" s="254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76.32715</f>
        <v>76.327150000000003</v>
      </c>
      <c r="H131" s="55">
        <f>E131-G131</f>
        <v>423.67284999999998</v>
      </c>
      <c r="I131" s="23">
        <f>155.28605</f>
        <v>155.28604999999999</v>
      </c>
      <c r="J131" s="244"/>
    </row>
    <row r="132" spans="1:10" ht="14.25" customHeight="1" x14ac:dyDescent="0.35">
      <c r="A132" s="67"/>
      <c r="B132" s="78"/>
      <c r="C132" s="88" t="s">
        <v>64</v>
      </c>
      <c r="D132" s="91">
        <v>51257</v>
      </c>
      <c r="E132" s="91">
        <v>52483</v>
      </c>
      <c r="F132" s="95">
        <f>18.737</f>
        <v>18.736999999999998</v>
      </c>
      <c r="G132" s="95">
        <f>16636.4948+7183.0032</f>
        <v>23819.498</v>
      </c>
      <c r="H132" s="95">
        <f>E132-G132</f>
        <v>28663.502</v>
      </c>
      <c r="I132" s="95">
        <f>38992.26618</f>
        <v>38992.266179999999</v>
      </c>
      <c r="J132" s="116"/>
    </row>
    <row r="133" spans="1:10" ht="15.75" customHeight="1" x14ac:dyDescent="0.35">
      <c r="A133" s="1"/>
      <c r="B133" s="254"/>
      <c r="C133" s="142" t="s">
        <v>22</v>
      </c>
      <c r="D133" s="143">
        <f>D134+D139+D142</f>
        <v>79534</v>
      </c>
      <c r="E133" s="143">
        <f>E134+E139+E142</f>
        <v>80329</v>
      </c>
      <c r="F133" s="94">
        <f>F134+F139+F142</f>
        <v>1171.6902200000002</v>
      </c>
      <c r="G133" s="94">
        <f t="shared" ref="G133" si="14">G134+G139+G142</f>
        <v>63499.936640000007</v>
      </c>
      <c r="H133" s="94">
        <f>H134+H139+H142</f>
        <v>16829.06336</v>
      </c>
      <c r="I133" s="94">
        <f>I134+I139+I142</f>
        <v>76096.19803</v>
      </c>
      <c r="J133" s="120"/>
    </row>
    <row r="134" spans="1:10" ht="14.15" customHeight="1" x14ac:dyDescent="0.3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59251</v>
      </c>
      <c r="F134" s="125">
        <f>F135+F136+F137+F138</f>
        <v>1068.9314200000001</v>
      </c>
      <c r="G134" s="125">
        <f>G135+G136+G138+G137</f>
        <v>48024.792530000006</v>
      </c>
      <c r="H134" s="125">
        <f>H135+H136+H137+H138</f>
        <v>11226.207469999999</v>
      </c>
      <c r="I134" s="125">
        <f>I135+I136+I137+I138</f>
        <v>60269.910069999998</v>
      </c>
      <c r="J134" s="280"/>
    </row>
    <row r="135" spans="1:10" ht="14.15" customHeight="1" x14ac:dyDescent="0.35">
      <c r="A135" s="197"/>
      <c r="B135" s="126"/>
      <c r="C135" s="62" t="s">
        <v>24</v>
      </c>
      <c r="D135" s="63">
        <v>15960</v>
      </c>
      <c r="E135" s="63">
        <v>17770</v>
      </c>
      <c r="F135" s="127">
        <f>247.84976</f>
        <v>247.84976</v>
      </c>
      <c r="G135" s="127">
        <v>11024.174849999999</v>
      </c>
      <c r="H135" s="127">
        <f>E135-G135</f>
        <v>6745.8251500000006</v>
      </c>
      <c r="I135" s="127">
        <f>10746.98906</f>
        <v>10746.98906</v>
      </c>
      <c r="J135" s="128"/>
    </row>
    <row r="136" spans="1:10" ht="14.15" customHeight="1" x14ac:dyDescent="0.35">
      <c r="A136" s="197"/>
      <c r="B136" s="182"/>
      <c r="C136" s="62" t="s">
        <v>51</v>
      </c>
      <c r="D136" s="63">
        <v>16404</v>
      </c>
      <c r="E136" s="63">
        <v>14935</v>
      </c>
      <c r="F136" s="127">
        <f>347.91975</f>
        <v>347.91975000000002</v>
      </c>
      <c r="G136" s="127">
        <v>13604.546704999999</v>
      </c>
      <c r="H136" s="127">
        <f>E136-G136</f>
        <v>1330.4532950000012</v>
      </c>
      <c r="I136" s="127">
        <f>16207.77909</f>
        <v>16207.77909</v>
      </c>
      <c r="J136" s="129"/>
    </row>
    <row r="137" spans="1:10" ht="14.15" customHeight="1" x14ac:dyDescent="0.35">
      <c r="A137" s="197"/>
      <c r="B137" s="182"/>
      <c r="C137" s="62" t="s">
        <v>52</v>
      </c>
      <c r="D137" s="63">
        <v>14385</v>
      </c>
      <c r="E137" s="63">
        <v>13047</v>
      </c>
      <c r="F137" s="127">
        <f>126.19618</f>
        <v>126.19618</v>
      </c>
      <c r="G137" s="127">
        <v>12110.324185000001</v>
      </c>
      <c r="H137" s="127">
        <f>E137-G137</f>
        <v>936.67581499999869</v>
      </c>
      <c r="I137" s="127">
        <f>17911.54085</f>
        <v>17911.540850000001</v>
      </c>
      <c r="J137" s="129"/>
    </row>
    <row r="138" spans="1:10" ht="14.15" customHeight="1" x14ac:dyDescent="0.35">
      <c r="A138" s="197"/>
      <c r="B138" s="182"/>
      <c r="C138" s="62" t="s">
        <v>27</v>
      </c>
      <c r="D138" s="63">
        <v>13308</v>
      </c>
      <c r="E138" s="63">
        <v>13499</v>
      </c>
      <c r="F138" s="127">
        <f>346.96573</f>
        <v>346.96573000000001</v>
      </c>
      <c r="G138" s="127">
        <v>11285.746790000001</v>
      </c>
      <c r="H138" s="127">
        <f>E138-G138</f>
        <v>2213.2532099999989</v>
      </c>
      <c r="I138" s="127">
        <f>15403.60107</f>
        <v>15403.601070000001</v>
      </c>
      <c r="J138" s="129"/>
    </row>
    <row r="139" spans="1:10" ht="14.15" customHeight="1" x14ac:dyDescent="0.35">
      <c r="A139" s="66"/>
      <c r="B139" s="53"/>
      <c r="C139" s="56" t="s">
        <v>29</v>
      </c>
      <c r="D139" s="58">
        <f>D140+D141</f>
        <v>8570</v>
      </c>
      <c r="E139" s="58">
        <f>E140+E141</f>
        <v>8925</v>
      </c>
      <c r="F139" s="132">
        <f>SUM(F140:F141)</f>
        <v>2.0147599999999999</v>
      </c>
      <c r="G139" s="132">
        <f>SUM(G140:G141)</f>
        <v>8985.6916000000001</v>
      </c>
      <c r="H139" s="132">
        <f>H140+H141</f>
        <v>-60.69159999999971</v>
      </c>
      <c r="I139" s="132">
        <f>SUM(I140:I141)</f>
        <v>7664.3741999999993</v>
      </c>
      <c r="J139" s="133"/>
    </row>
    <row r="140" spans="1:10" ht="14.15" customHeight="1" x14ac:dyDescent="0.35">
      <c r="A140" s="1"/>
      <c r="B140" s="254"/>
      <c r="C140" s="62" t="s">
        <v>66</v>
      </c>
      <c r="D140" s="63">
        <v>8070</v>
      </c>
      <c r="E140" s="63">
        <v>8425</v>
      </c>
      <c r="F140" s="127">
        <f>0.08775</f>
        <v>8.7749999999999995E-2</v>
      </c>
      <c r="G140" s="127">
        <f>8529.80459</f>
        <v>8529.8045899999997</v>
      </c>
      <c r="H140" s="127">
        <f t="shared" ref="H140:H148" si="15">E140-G140</f>
        <v>-104.80458999999973</v>
      </c>
      <c r="I140" s="127">
        <f>7389.58174</f>
        <v>7389.5817399999996</v>
      </c>
      <c r="J140" s="120"/>
    </row>
    <row r="141" spans="1:10" ht="15" customHeight="1" x14ac:dyDescent="0.35">
      <c r="A141" s="1"/>
      <c r="B141" s="53"/>
      <c r="C141" s="62" t="s">
        <v>67</v>
      </c>
      <c r="D141" s="63">
        <v>500</v>
      </c>
      <c r="E141" s="63">
        <v>500</v>
      </c>
      <c r="F141" s="127">
        <f>1.92701</f>
        <v>1.9270099999999999</v>
      </c>
      <c r="G141" s="127">
        <f>455.88701</f>
        <v>455.88700999999998</v>
      </c>
      <c r="H141" s="127">
        <f t="shared" si="15"/>
        <v>44.112990000000025</v>
      </c>
      <c r="I141" s="127">
        <f>274.79246</f>
        <v>274.79246000000001</v>
      </c>
      <c r="J141" s="134"/>
    </row>
    <row r="142" spans="1:10" ht="15.75" customHeight="1" x14ac:dyDescent="0.35">
      <c r="A142" s="1"/>
      <c r="B142" s="254"/>
      <c r="C142" s="38" t="s">
        <v>11</v>
      </c>
      <c r="D142" s="61">
        <v>10907</v>
      </c>
      <c r="E142" s="61">
        <v>12153</v>
      </c>
      <c r="F142" s="75">
        <f>100.74404</f>
        <v>100.74404</v>
      </c>
      <c r="G142" s="75">
        <f>6489.45251</f>
        <v>6489.4525100000001</v>
      </c>
      <c r="H142" s="75">
        <f t="shared" si="15"/>
        <v>5663.5474899999999</v>
      </c>
      <c r="I142" s="75">
        <f>8161.91376</f>
        <v>8161.9137600000004</v>
      </c>
      <c r="J142" s="120"/>
    </row>
    <row r="143" spans="1:10" ht="15.75" customHeight="1" x14ac:dyDescent="0.35">
      <c r="A143" s="1"/>
      <c r="B143" s="254"/>
      <c r="C143" s="142" t="s">
        <v>34</v>
      </c>
      <c r="D143" s="143">
        <v>146</v>
      </c>
      <c r="E143" s="143">
        <v>146</v>
      </c>
      <c r="F143" s="139">
        <f>0.17955</f>
        <v>0.17954999999999999</v>
      </c>
      <c r="G143" s="139">
        <f>16.40105</f>
        <v>16.401050000000001</v>
      </c>
      <c r="H143" s="139">
        <f t="shared" si="15"/>
        <v>129.59895</v>
      </c>
      <c r="I143" s="139">
        <f>33.44728</f>
        <v>33.447279999999999</v>
      </c>
      <c r="J143" s="120"/>
    </row>
    <row r="144" spans="1:10" ht="15.75" customHeight="1" x14ac:dyDescent="0.35">
      <c r="A144" s="1"/>
      <c r="B144" s="254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35">
      <c r="A145" s="1"/>
      <c r="B145" s="254"/>
      <c r="C145" s="140" t="s">
        <v>69</v>
      </c>
      <c r="D145" s="143">
        <v>2000</v>
      </c>
      <c r="E145" s="143">
        <v>2000</v>
      </c>
      <c r="F145" s="139">
        <f>1.54194</f>
        <v>1.5419400000000001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3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35">
      <c r="A147" s="1"/>
      <c r="B147" s="254"/>
      <c r="C147" s="142" t="s">
        <v>70</v>
      </c>
      <c r="D147" s="143">
        <v>276</v>
      </c>
      <c r="E147" s="143">
        <v>276</v>
      </c>
      <c r="F147" s="98">
        <f>0.327</f>
        <v>0.32700000000000001</v>
      </c>
      <c r="G147" s="98">
        <f>72.45681</f>
        <v>72.456810000000004</v>
      </c>
      <c r="H147" s="139">
        <f t="shared" si="15"/>
        <v>203.54318999999998</v>
      </c>
      <c r="I147" s="98">
        <f>28.66901</f>
        <v>28.66901</v>
      </c>
      <c r="J147" s="120"/>
    </row>
    <row r="148" spans="1:10" ht="15" customHeight="1" x14ac:dyDescent="0.35">
      <c r="A148" s="1"/>
      <c r="B148" s="254"/>
      <c r="C148" s="142" t="s">
        <v>39</v>
      </c>
      <c r="D148" s="145"/>
      <c r="E148" s="143"/>
      <c r="F148" s="139">
        <f>8.71</f>
        <v>8.7100000000000009</v>
      </c>
      <c r="G148" s="139">
        <f>283.59944</f>
        <v>283.59944000000002</v>
      </c>
      <c r="H148" s="139">
        <f t="shared" si="15"/>
        <v>-283.59944000000002</v>
      </c>
      <c r="I148" s="139">
        <f>545.21063</f>
        <v>545.21063000000004</v>
      </c>
      <c r="J148" s="120"/>
    </row>
    <row r="149" spans="1:10" ht="0" hidden="1" customHeight="1" x14ac:dyDescent="0.3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3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208111</v>
      </c>
      <c r="F150" s="76">
        <f>F128+F132+F133+F143+F144+F145+F146+F147+F148</f>
        <v>2168.3611600000004</v>
      </c>
      <c r="G150" s="76">
        <f>G128+G132+G133+G143+G144+G145+G146+G147+G148</f>
        <v>146697.52377999996</v>
      </c>
      <c r="H150" s="76">
        <f>H128+H132+H133+H143+H144+H145+H146+H147+H148</f>
        <v>61413.476219999997</v>
      </c>
      <c r="I150" s="76">
        <f>I128+I132+I133+I143+I144+I145+I146+I147+I148</f>
        <v>183723.98071</v>
      </c>
      <c r="J150" s="160"/>
    </row>
    <row r="151" spans="1:10" ht="14.25" customHeight="1" x14ac:dyDescent="0.3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35">
      <c r="A152" s="156"/>
      <c r="B152" s="52"/>
      <c r="C152" s="101" t="s">
        <v>131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3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80"/>
    </row>
    <row r="154" spans="1:10" ht="14.25" customHeight="1" x14ac:dyDescent="0.35">
      <c r="A154" s="156"/>
      <c r="B154" s="52"/>
      <c r="C154" s="77" t="s">
        <v>144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3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80"/>
    </row>
    <row r="156" spans="1:10" ht="15.75" customHeight="1" x14ac:dyDescent="0.35">
      <c r="A156" s="156"/>
      <c r="B156" s="52"/>
      <c r="C156" s="77" t="s">
        <v>132</v>
      </c>
      <c r="D156" s="119"/>
      <c r="E156" s="119"/>
      <c r="F156" s="119"/>
      <c r="G156" s="119"/>
      <c r="H156" s="163"/>
      <c r="I156" s="163"/>
      <c r="J156" s="280"/>
    </row>
    <row r="157" spans="1:10" ht="12" customHeight="1" x14ac:dyDescent="0.3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3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3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3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3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35">
      <c r="A162" s="1" t="s">
        <v>113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3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35">
      <c r="A164" s="1" t="s">
        <v>113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5" customHeight="1" x14ac:dyDescent="0.35">
      <c r="A165" s="1" t="s">
        <v>113</v>
      </c>
      <c r="B165" s="254"/>
      <c r="C165" s="149" t="s">
        <v>1</v>
      </c>
      <c r="D165" s="185"/>
      <c r="E165" s="281"/>
      <c r="F165" s="281"/>
      <c r="G165" s="281"/>
      <c r="H165" s="1"/>
      <c r="I165" s="1"/>
      <c r="J165" s="120"/>
    </row>
    <row r="166" spans="1:10" ht="14.15" customHeight="1" x14ac:dyDescent="0.35">
      <c r="A166" s="1"/>
      <c r="B166" s="254"/>
      <c r="C166" s="177" t="s">
        <v>6</v>
      </c>
      <c r="D166" s="189">
        <v>10823</v>
      </c>
      <c r="E166" s="281"/>
      <c r="F166" s="281"/>
      <c r="G166" s="281"/>
      <c r="H166" s="1"/>
      <c r="I166" s="1"/>
      <c r="J166" s="120"/>
    </row>
    <row r="167" spans="1:10" ht="14.15" customHeight="1" x14ac:dyDescent="0.35">
      <c r="A167" s="1"/>
      <c r="B167" s="254"/>
      <c r="C167" s="177" t="s">
        <v>9</v>
      </c>
      <c r="D167" s="189">
        <f>8888 + 750</f>
        <v>9638</v>
      </c>
      <c r="E167" s="281"/>
      <c r="F167" s="281"/>
      <c r="G167" s="235"/>
      <c r="H167" s="1"/>
      <c r="I167" s="1"/>
      <c r="J167" s="120"/>
    </row>
    <row r="168" spans="1:10" ht="14.15" customHeight="1" x14ac:dyDescent="0.35">
      <c r="A168" s="1"/>
      <c r="B168" s="254"/>
      <c r="C168" s="177" t="s">
        <v>74</v>
      </c>
      <c r="D168" s="189">
        <v>790</v>
      </c>
      <c r="E168" s="281"/>
      <c r="F168" s="281"/>
      <c r="G168" s="281"/>
      <c r="H168" s="1"/>
      <c r="I168" s="1"/>
      <c r="J168" s="120"/>
    </row>
    <row r="169" spans="1:10" ht="14.15" customHeight="1" x14ac:dyDescent="0.35">
      <c r="A169" s="1"/>
      <c r="B169" s="254"/>
      <c r="C169" s="177" t="s">
        <v>49</v>
      </c>
      <c r="D169" s="189">
        <f>SUM(D166:D168)</f>
        <v>21251</v>
      </c>
      <c r="E169" s="281"/>
      <c r="F169" s="281"/>
      <c r="G169" s="281"/>
      <c r="H169" s="1"/>
      <c r="I169" s="1"/>
      <c r="J169" s="120"/>
    </row>
    <row r="170" spans="1:10" ht="14.15" customHeight="1" x14ac:dyDescent="0.35">
      <c r="A170" s="1"/>
      <c r="B170" s="254"/>
      <c r="C170" s="1"/>
      <c r="D170" s="47"/>
      <c r="E170" s="281"/>
      <c r="F170" s="281"/>
      <c r="G170" s="281"/>
      <c r="H170" s="1"/>
      <c r="I170" s="1"/>
      <c r="J170" s="120"/>
    </row>
    <row r="171" spans="1:10" ht="3.75" customHeight="1" x14ac:dyDescent="0.3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3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3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35">
      <c r="A174" s="156"/>
      <c r="B174" s="52"/>
      <c r="C174" s="15" t="s">
        <v>16</v>
      </c>
      <c r="D174" s="175" t="s">
        <v>2</v>
      </c>
      <c r="E174" s="15" t="s">
        <v>146</v>
      </c>
      <c r="F174" s="15" t="s">
        <v>147</v>
      </c>
      <c r="G174" s="54" t="s">
        <v>148</v>
      </c>
      <c r="H174" s="15" t="s">
        <v>149</v>
      </c>
      <c r="I174" s="156"/>
      <c r="J174" s="280"/>
    </row>
    <row r="175" spans="1:10" ht="14.15" customHeight="1" x14ac:dyDescent="0.35">
      <c r="A175" s="1"/>
      <c r="B175" s="254"/>
      <c r="C175" s="141" t="s">
        <v>75</v>
      </c>
      <c r="D175" s="94">
        <v>4223</v>
      </c>
      <c r="E175" s="276">
        <f>18.75491</f>
        <v>18.754909999999999</v>
      </c>
      <c r="F175" s="276">
        <f>1321.00001</f>
        <v>1321.00001</v>
      </c>
      <c r="G175" s="43">
        <f>D175-F175-F176</f>
        <v>1273.1956600000003</v>
      </c>
      <c r="H175" s="276">
        <f>1996.39741</f>
        <v>1996.39741</v>
      </c>
      <c r="I175" s="1"/>
      <c r="J175" s="120"/>
    </row>
    <row r="176" spans="1:10" ht="14.15" customHeight="1" x14ac:dyDescent="0.35">
      <c r="A176" s="1"/>
      <c r="B176" s="254"/>
      <c r="C176" s="137" t="s">
        <v>53</v>
      </c>
      <c r="D176" s="181"/>
      <c r="E176" s="152">
        <f>60.12238</f>
        <v>60.12238</v>
      </c>
      <c r="F176" s="152">
        <f>1628.80433</f>
        <v>1628.8043299999999</v>
      </c>
      <c r="G176" s="217"/>
      <c r="H176" s="152">
        <f>1965.24771</f>
        <v>1965.2477100000001</v>
      </c>
      <c r="I176" s="1"/>
      <c r="J176" s="120"/>
    </row>
    <row r="177" spans="1:10" ht="15.65" customHeight="1" x14ac:dyDescent="0.35">
      <c r="A177" s="1"/>
      <c r="B177" s="254"/>
      <c r="C177" s="169" t="s">
        <v>76</v>
      </c>
      <c r="D177" s="98">
        <v>200</v>
      </c>
      <c r="E177" s="172">
        <f>0.0066</f>
        <v>6.6E-3</v>
      </c>
      <c r="F177" s="172">
        <f>125.68287</f>
        <v>125.68286999999999</v>
      </c>
      <c r="G177" s="172">
        <f>D177-F177</f>
        <v>74.317130000000006</v>
      </c>
      <c r="H177" s="172">
        <f>74.78946</f>
        <v>74.789460000000005</v>
      </c>
      <c r="I177" s="1"/>
      <c r="J177" s="120"/>
    </row>
    <row r="178" spans="1:10" ht="14.15" customHeight="1" x14ac:dyDescent="0.35">
      <c r="A178" s="67"/>
      <c r="B178" s="78"/>
      <c r="C178" s="180" t="s">
        <v>77</v>
      </c>
      <c r="D178" s="181">
        <v>6334</v>
      </c>
      <c r="E178" s="181">
        <f>E179+E180+E181</f>
        <v>4.31365</v>
      </c>
      <c r="F178" s="181">
        <f>F179+F180+F181</f>
        <v>5985.7406899999996</v>
      </c>
      <c r="G178" s="181">
        <f>D178-F178</f>
        <v>348.25931000000037</v>
      </c>
      <c r="H178" s="181">
        <f>H179+H180+H181</f>
        <v>8178.8248999999996</v>
      </c>
      <c r="I178" s="67"/>
      <c r="J178" s="116"/>
    </row>
    <row r="179" spans="1:10" ht="14.15" customHeight="1" x14ac:dyDescent="0.35">
      <c r="A179" s="197"/>
      <c r="B179" s="182"/>
      <c r="C179" s="183" t="s">
        <v>78</v>
      </c>
      <c r="D179" s="127"/>
      <c r="E179" s="127">
        <f>0.45529</f>
        <v>0.45528999999999997</v>
      </c>
      <c r="F179" s="127">
        <f>3092.33051</f>
        <v>3092.3305099999998</v>
      </c>
      <c r="G179" s="127"/>
      <c r="H179" s="127">
        <f>4192.4377</f>
        <v>4192.4377000000004</v>
      </c>
      <c r="I179" s="186"/>
      <c r="J179" s="129"/>
    </row>
    <row r="180" spans="1:10" ht="14.15" customHeight="1" x14ac:dyDescent="0.35">
      <c r="A180" s="197"/>
      <c r="B180" s="182"/>
      <c r="C180" s="183" t="s">
        <v>79</v>
      </c>
      <c r="D180" s="127"/>
      <c r="E180" s="127">
        <f>1.88493</f>
        <v>1.88493</v>
      </c>
      <c r="F180" s="127">
        <f>1830.79551</f>
        <v>1830.7955099999999</v>
      </c>
      <c r="G180" s="127"/>
      <c r="H180" s="127">
        <f>2526.37337</f>
        <v>2526.3733699999998</v>
      </c>
      <c r="I180" s="186"/>
      <c r="J180" s="187"/>
    </row>
    <row r="181" spans="1:10" ht="14.15" customHeight="1" x14ac:dyDescent="0.35">
      <c r="A181" s="197"/>
      <c r="B181" s="182"/>
      <c r="C181" s="188" t="s">
        <v>80</v>
      </c>
      <c r="D181" s="192"/>
      <c r="E181" s="192">
        <f>1.97343</f>
        <v>1.97343</v>
      </c>
      <c r="F181" s="192">
        <f>1062.61467</f>
        <v>1062.6146699999999</v>
      </c>
      <c r="G181" s="192"/>
      <c r="H181" s="192">
        <f>1460.01383</f>
        <v>1460.0138300000001</v>
      </c>
      <c r="I181" s="186"/>
      <c r="J181" s="187"/>
    </row>
    <row r="182" spans="1:10" ht="14.15" customHeight="1" x14ac:dyDescent="0.35">
      <c r="A182" s="1"/>
      <c r="B182" s="254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4"/>
    </row>
    <row r="183" spans="1:10" ht="16.5" customHeight="1" x14ac:dyDescent="0.3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99999999999999" customHeight="1" x14ac:dyDescent="0.3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83.197540000000004</v>
      </c>
      <c r="F184" s="194">
        <f>F175+F176+F177+F178+F182+F183</f>
        <v>9061.2278999999999</v>
      </c>
      <c r="G184" s="194">
        <f>D184-F184</f>
        <v>1761.7721000000001</v>
      </c>
      <c r="H184" s="194">
        <f>H175+H176+H177+H178+H182+H183</f>
        <v>12215.259480000001</v>
      </c>
      <c r="I184" s="163"/>
      <c r="J184" s="160"/>
    </row>
    <row r="185" spans="1:10" ht="42" customHeight="1" x14ac:dyDescent="0.35">
      <c r="A185" s="1"/>
      <c r="B185" s="198"/>
      <c r="C185" s="227" t="s">
        <v>137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35">
      <c r="A186" s="156" t="s">
        <v>113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3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35">
      <c r="A188" s="150" t="s">
        <v>113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5">
      <c r="A190" s="150" t="s">
        <v>113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3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3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35">
      <c r="A193" s="150"/>
      <c r="B193" s="254"/>
      <c r="C193" s="259" t="s">
        <v>84</v>
      </c>
      <c r="D193" s="270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35">
      <c r="A194" s="150"/>
      <c r="B194" s="254"/>
      <c r="C194" s="248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35">
      <c r="A195" s="150"/>
      <c r="B195" s="254"/>
      <c r="C195" s="248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35">
      <c r="A196" s="150"/>
      <c r="B196" s="254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35">
      <c r="A197" s="1"/>
      <c r="B197" s="254"/>
      <c r="C197" s="101" t="s">
        <v>119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35">
      <c r="A198" s="1"/>
      <c r="B198" s="254"/>
      <c r="C198" s="101" t="s">
        <v>120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35">
      <c r="A199" s="1"/>
      <c r="B199" s="254"/>
      <c r="C199" s="101" t="s">
        <v>123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3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3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3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35">
      <c r="A203" s="1"/>
      <c r="B203" s="254"/>
      <c r="C203" s="68" t="s">
        <v>16</v>
      </c>
      <c r="D203" s="79" t="s">
        <v>2</v>
      </c>
      <c r="E203" s="68" t="s">
        <v>146</v>
      </c>
      <c r="F203" s="68" t="s">
        <v>147</v>
      </c>
      <c r="G203" s="68" t="s">
        <v>148</v>
      </c>
      <c r="H203" s="68" t="s">
        <v>149</v>
      </c>
      <c r="I203" s="1"/>
      <c r="J203" s="120"/>
    </row>
    <row r="204" spans="1:10" ht="15" customHeight="1" x14ac:dyDescent="0.35">
      <c r="A204" s="1"/>
      <c r="B204" s="254"/>
      <c r="C204" s="90" t="s">
        <v>4</v>
      </c>
      <c r="D204" s="124">
        <v>46282</v>
      </c>
      <c r="E204" s="124">
        <f>542.78952</f>
        <v>542.78952000000004</v>
      </c>
      <c r="F204" s="124">
        <f>43190.48261</f>
        <v>43190.482609999999</v>
      </c>
      <c r="G204" s="124">
        <f>D204-F204</f>
        <v>3091.5173900000009</v>
      </c>
      <c r="H204" s="124">
        <f>41866.73321</f>
        <v>41866.733209999999</v>
      </c>
      <c r="I204" s="248"/>
      <c r="J204" s="120"/>
    </row>
    <row r="205" spans="1:10" ht="15" customHeight="1" x14ac:dyDescent="0.35">
      <c r="A205" s="1"/>
      <c r="B205" s="254"/>
      <c r="C205" s="90" t="s">
        <v>67</v>
      </c>
      <c r="D205" s="124">
        <v>100</v>
      </c>
      <c r="E205" s="124">
        <f>0.41036</f>
        <v>0.41036</v>
      </c>
      <c r="F205" s="124">
        <f>42.24845</f>
        <v>42.248449999999998</v>
      </c>
      <c r="G205" s="124">
        <f>D205-F205</f>
        <v>57.751550000000002</v>
      </c>
      <c r="H205" s="124">
        <f>67.58493</f>
        <v>67.58493</v>
      </c>
      <c r="I205" s="248"/>
      <c r="J205" s="120"/>
    </row>
    <row r="206" spans="1:10" ht="15.75" customHeight="1" x14ac:dyDescent="0.3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35">
      <c r="A207" s="1"/>
      <c r="B207" s="254"/>
      <c r="C207" s="179" t="s">
        <v>87</v>
      </c>
      <c r="D207" s="190">
        <f>SUM(D204:D206)</f>
        <v>46418</v>
      </c>
      <c r="E207" s="190">
        <f>SUM(E204:E206)</f>
        <v>543.19988000000001</v>
      </c>
      <c r="F207" s="190">
        <f>SUM(F204:F206)</f>
        <v>43232.731059999998</v>
      </c>
      <c r="G207" s="190">
        <f>D207-F207</f>
        <v>3185.2689400000017</v>
      </c>
      <c r="H207" s="190">
        <f>SUM(H204:H206)</f>
        <v>41934.318139999996</v>
      </c>
      <c r="I207" s="248"/>
      <c r="J207" s="120"/>
    </row>
    <row r="208" spans="1:10" ht="17.149999999999999" customHeight="1" x14ac:dyDescent="0.3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49999999999999" customHeight="1" x14ac:dyDescent="0.35">
      <c r="A242" s="1" t="s">
        <v>113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5">
      <c r="A243" s="150"/>
      <c r="B243" s="1"/>
      <c r="C243" s="215" t="s">
        <v>115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5">
      <c r="A244" s="150" t="s">
        <v>113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3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3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3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35">
      <c r="A248" s="1"/>
      <c r="B248" s="254"/>
      <c r="C248" s="68" t="s">
        <v>16</v>
      </c>
      <c r="D248" s="79" t="s">
        <v>2</v>
      </c>
      <c r="E248" s="68" t="s">
        <v>146</v>
      </c>
      <c r="F248" s="68" t="s">
        <v>147</v>
      </c>
      <c r="G248" s="68" t="s">
        <v>148</v>
      </c>
      <c r="H248" s="68" t="s">
        <v>149</v>
      </c>
      <c r="I248" s="1"/>
      <c r="J248" s="120"/>
    </row>
    <row r="249" spans="1:10" ht="15" customHeight="1" x14ac:dyDescent="0.35">
      <c r="A249" s="1"/>
      <c r="B249" s="254"/>
      <c r="C249" s="90" t="s">
        <v>121</v>
      </c>
      <c r="D249" s="124">
        <v>3987</v>
      </c>
      <c r="E249" s="75">
        <f>E250+E251</f>
        <v>21.279340000000001</v>
      </c>
      <c r="F249" s="75">
        <f>F250+F251</f>
        <v>4307.0577400000002</v>
      </c>
      <c r="G249" s="75">
        <f>D249-F249</f>
        <v>-320.05774000000019</v>
      </c>
      <c r="H249" s="75">
        <f>H250+H251</f>
        <v>4306.4247400000004</v>
      </c>
      <c r="I249" s="248"/>
      <c r="J249" s="120"/>
    </row>
    <row r="250" spans="1:10" ht="15" customHeight="1" x14ac:dyDescent="0.35">
      <c r="A250" s="1"/>
      <c r="B250" s="254"/>
      <c r="C250" s="177" t="s">
        <v>8</v>
      </c>
      <c r="D250" s="124"/>
      <c r="E250" s="75">
        <f>10.20592</f>
        <v>10.205920000000001</v>
      </c>
      <c r="F250" s="75">
        <f>3658.49233</f>
        <v>3658.49233</v>
      </c>
      <c r="G250" s="75"/>
      <c r="H250" s="75">
        <f>3627.40369</f>
        <v>3627.4036900000001</v>
      </c>
      <c r="I250" s="248"/>
      <c r="J250" s="120"/>
    </row>
    <row r="251" spans="1:10" ht="15" customHeight="1" x14ac:dyDescent="0.35">
      <c r="A251" s="1"/>
      <c r="B251" s="254"/>
      <c r="C251" s="177" t="s">
        <v>67</v>
      </c>
      <c r="D251" s="124"/>
      <c r="E251" s="124">
        <f>11.07342</f>
        <v>11.07342</v>
      </c>
      <c r="F251" s="124">
        <f>648.56541</f>
        <v>648.56541000000004</v>
      </c>
      <c r="G251" s="168"/>
      <c r="H251" s="124">
        <f>679.02105</f>
        <v>679.02104999999995</v>
      </c>
      <c r="I251" s="248"/>
      <c r="J251" s="120"/>
    </row>
    <row r="252" spans="1:10" ht="15" customHeight="1" x14ac:dyDescent="0.35">
      <c r="A252" s="1"/>
      <c r="B252" s="254"/>
      <c r="C252" s="90" t="s">
        <v>122</v>
      </c>
      <c r="D252" s="124">
        <v>4613</v>
      </c>
      <c r="E252" s="75">
        <f>27.52258</f>
        <v>27.522580000000001</v>
      </c>
      <c r="F252" s="75">
        <f>5455.16858</f>
        <v>5455.1685799999996</v>
      </c>
      <c r="G252" s="75">
        <f>D252-F252</f>
        <v>-842.16857999999957</v>
      </c>
      <c r="H252" s="75">
        <f>5590.48788</f>
        <v>5590.4878799999997</v>
      </c>
      <c r="I252" s="248"/>
      <c r="J252" s="120"/>
    </row>
    <row r="253" spans="1:10" ht="16.5" customHeight="1" x14ac:dyDescent="0.35">
      <c r="A253" s="1"/>
      <c r="B253" s="254"/>
      <c r="C253" s="179" t="s">
        <v>87</v>
      </c>
      <c r="D253" s="190">
        <f>D252+D249</f>
        <v>8600</v>
      </c>
      <c r="E253" s="190">
        <f>SUM(E249,E252)</f>
        <v>48.801920000000003</v>
      </c>
      <c r="F253" s="190">
        <f>SUM(F249,F252)</f>
        <v>9762.2263199999998</v>
      </c>
      <c r="G253" s="190">
        <f>D253-F253</f>
        <v>-1162.2263199999998</v>
      </c>
      <c r="H253" s="190">
        <f>SUM(H249,H252)</f>
        <v>9896.9126199999992</v>
      </c>
      <c r="I253" s="248"/>
      <c r="J253" s="120"/>
    </row>
    <row r="254" spans="1:10" ht="17.149999999999999" customHeight="1" x14ac:dyDescent="0.3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49999999999999" customHeight="1" x14ac:dyDescent="0.35">
      <c r="A288" s="1" t="s">
        <v>113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5">
      <c r="A289" s="150"/>
      <c r="B289" s="1"/>
      <c r="C289" s="215" t="s">
        <v>116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5">
      <c r="A290" s="150" t="s">
        <v>113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3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3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3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35">
      <c r="A294" s="1"/>
      <c r="B294" s="254"/>
      <c r="C294" s="68" t="s">
        <v>16</v>
      </c>
      <c r="D294" s="79" t="s">
        <v>2</v>
      </c>
      <c r="E294" s="68" t="s">
        <v>146</v>
      </c>
      <c r="F294" s="68" t="s">
        <v>147</v>
      </c>
      <c r="G294" s="68" t="s">
        <v>148</v>
      </c>
      <c r="H294" s="68" t="s">
        <v>149</v>
      </c>
      <c r="I294" s="1"/>
      <c r="J294" s="120"/>
    </row>
    <row r="295" spans="1:10" ht="15" customHeight="1" x14ac:dyDescent="0.35">
      <c r="A295" s="1"/>
      <c r="B295" s="254"/>
      <c r="C295" s="90" t="s">
        <v>121</v>
      </c>
      <c r="D295" s="124">
        <v>5090</v>
      </c>
      <c r="E295" s="75">
        <f>E296+E297</f>
        <v>20.0501</v>
      </c>
      <c r="F295" s="75">
        <f>F296+F297</f>
        <v>5409.96227</v>
      </c>
      <c r="G295" s="75">
        <f>D295-F295</f>
        <v>-319.96226999999999</v>
      </c>
      <c r="H295" s="75">
        <f>H296+H297</f>
        <v>6079.2658199999996</v>
      </c>
      <c r="I295" s="248"/>
      <c r="J295" s="120"/>
    </row>
    <row r="296" spans="1:10" ht="15" customHeight="1" x14ac:dyDescent="0.35">
      <c r="A296" s="1"/>
      <c r="B296" s="254"/>
      <c r="C296" s="177" t="s">
        <v>8</v>
      </c>
      <c r="D296" s="124"/>
      <c r="E296" s="75">
        <f>18.56218</f>
        <v>18.562180000000001</v>
      </c>
      <c r="F296" s="75">
        <f>4865.48348</f>
        <v>4865.4834799999999</v>
      </c>
      <c r="G296" s="75"/>
      <c r="H296" s="75">
        <f>5562.97924</f>
        <v>5562.9792399999997</v>
      </c>
      <c r="I296" s="248"/>
      <c r="J296" s="120"/>
    </row>
    <row r="297" spans="1:10" ht="15" customHeight="1" x14ac:dyDescent="0.35">
      <c r="A297" s="1"/>
      <c r="B297" s="254"/>
      <c r="C297" s="177" t="s">
        <v>67</v>
      </c>
      <c r="D297" s="124"/>
      <c r="E297" s="124">
        <f>1.48792</f>
        <v>1.4879199999999999</v>
      </c>
      <c r="F297" s="124">
        <f>544.47879</f>
        <v>544.47879</v>
      </c>
      <c r="G297" s="168"/>
      <c r="H297" s="124">
        <f>516.28658</f>
        <v>516.28657999999996</v>
      </c>
      <c r="I297" s="248"/>
      <c r="J297" s="120"/>
    </row>
    <row r="298" spans="1:10" ht="15" customHeight="1" x14ac:dyDescent="0.35">
      <c r="A298" s="1"/>
      <c r="B298" s="254"/>
      <c r="C298" s="90" t="s">
        <v>122</v>
      </c>
      <c r="D298" s="124">
        <v>2981</v>
      </c>
      <c r="E298" s="75">
        <f>96.12328</f>
        <v>96.123279999999994</v>
      </c>
      <c r="F298" s="75">
        <f>3149.81745</f>
        <v>3149.81745</v>
      </c>
      <c r="G298" s="75">
        <f>D298-F298</f>
        <v>-168.81745000000001</v>
      </c>
      <c r="H298" s="75">
        <f>4000.31008</f>
        <v>4000.3100800000002</v>
      </c>
      <c r="I298" s="248"/>
      <c r="J298" s="120"/>
    </row>
    <row r="299" spans="1:10" ht="16.5" customHeight="1" x14ac:dyDescent="0.35">
      <c r="A299" s="1"/>
      <c r="B299" s="254"/>
      <c r="C299" s="179" t="s">
        <v>87</v>
      </c>
      <c r="D299" s="190">
        <f>D298+D295</f>
        <v>8071</v>
      </c>
      <c r="E299" s="190">
        <f>SUM(E295,E298)</f>
        <v>116.17337999999999</v>
      </c>
      <c r="F299" s="190">
        <f>SUM(F295,F298)</f>
        <v>8559.7797200000005</v>
      </c>
      <c r="G299" s="190">
        <f>D299-F299</f>
        <v>-488.77972000000045</v>
      </c>
      <c r="H299" s="190">
        <f>SUM(H295,H298)</f>
        <v>10079.5759</v>
      </c>
      <c r="I299" s="248"/>
      <c r="J299" s="120"/>
    </row>
    <row r="300" spans="1:10" ht="17.149999999999999" customHeight="1" x14ac:dyDescent="0.3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35">
      <c r="A334" s="1" t="s">
        <v>113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3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35">
      <c r="A336" s="218" t="s">
        <v>113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5" customHeight="1" x14ac:dyDescent="0.3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5" customHeight="1" x14ac:dyDescent="0.3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5" customHeight="1" x14ac:dyDescent="0.35">
      <c r="A339" s="1"/>
      <c r="B339" s="254"/>
      <c r="C339" s="259" t="s">
        <v>84</v>
      </c>
      <c r="D339" s="270">
        <v>3851</v>
      </c>
      <c r="E339" s="150"/>
      <c r="F339" s="225"/>
      <c r="G339" s="1"/>
      <c r="H339" s="1"/>
      <c r="I339" s="1"/>
      <c r="J339" s="120"/>
    </row>
    <row r="340" spans="1:10" ht="14.15" customHeight="1" x14ac:dyDescent="0.35">
      <c r="A340" s="1"/>
      <c r="B340" s="254"/>
      <c r="C340" s="248" t="s">
        <v>90</v>
      </c>
      <c r="D340" s="46">
        <v>11613</v>
      </c>
      <c r="E340" s="150"/>
      <c r="F340" s="225"/>
      <c r="G340" s="1"/>
      <c r="H340" s="1"/>
      <c r="I340" s="1"/>
      <c r="J340" s="120"/>
    </row>
    <row r="341" spans="1:10" ht="14.15" customHeight="1" x14ac:dyDescent="0.35">
      <c r="A341" s="1"/>
      <c r="B341" s="254"/>
      <c r="C341" s="248" t="s">
        <v>91</v>
      </c>
      <c r="D341" s="46">
        <v>9054</v>
      </c>
      <c r="E341" s="150"/>
      <c r="F341" s="225"/>
      <c r="G341" s="1"/>
      <c r="H341" s="1"/>
      <c r="I341" s="1"/>
      <c r="J341" s="120"/>
    </row>
    <row r="342" spans="1:10" ht="13.5" customHeight="1" x14ac:dyDescent="0.35">
      <c r="A342" s="1"/>
      <c r="B342" s="254"/>
      <c r="C342" s="248" t="s">
        <v>124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35">
      <c r="A343" s="1"/>
      <c r="B343" s="254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5" customHeight="1" x14ac:dyDescent="0.3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3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3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3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5" customHeight="1" x14ac:dyDescent="0.3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35">
      <c r="A349" s="1"/>
      <c r="B349" s="254"/>
      <c r="C349" s="68" t="s">
        <v>16</v>
      </c>
      <c r="D349" s="243" t="s">
        <v>2</v>
      </c>
      <c r="E349" s="68" t="s">
        <v>146</v>
      </c>
      <c r="F349" s="68" t="s">
        <v>147</v>
      </c>
      <c r="G349" s="68" t="s">
        <v>148</v>
      </c>
      <c r="H349" s="68" t="s">
        <v>149</v>
      </c>
      <c r="I349" s="1"/>
      <c r="J349" s="116"/>
    </row>
    <row r="350" spans="1:10" ht="14.15" customHeight="1" x14ac:dyDescent="0.35">
      <c r="A350" s="67"/>
      <c r="B350" s="78"/>
      <c r="C350" s="90" t="s">
        <v>93</v>
      </c>
      <c r="D350" s="124">
        <v>800</v>
      </c>
      <c r="E350" s="124">
        <f>13.24572</f>
        <v>13.24572</v>
      </c>
      <c r="F350" s="124">
        <f>656.75412</f>
        <v>656.75411999999994</v>
      </c>
      <c r="G350" s="124">
        <f>D350-F350</f>
        <v>143.24588000000006</v>
      </c>
      <c r="H350" s="124">
        <f>581.12676</f>
        <v>581.12675999999999</v>
      </c>
      <c r="I350" s="67"/>
      <c r="J350" s="244"/>
    </row>
    <row r="351" spans="1:10" ht="14.15" customHeight="1" x14ac:dyDescent="0.35">
      <c r="A351" s="1"/>
      <c r="B351" s="254"/>
      <c r="C351" s="90" t="s">
        <v>94</v>
      </c>
      <c r="D351" s="246">
        <v>3041</v>
      </c>
      <c r="E351" s="124">
        <f>4.49921</f>
        <v>4.4992099999999997</v>
      </c>
      <c r="F351" s="124">
        <f>2497.57901</f>
        <v>2497.5790099999999</v>
      </c>
      <c r="G351" s="124">
        <f>D351-F351</f>
        <v>543.42099000000007</v>
      </c>
      <c r="H351" s="124">
        <f>2781.16959</f>
        <v>2781.16959</v>
      </c>
      <c r="I351" s="178"/>
      <c r="J351" s="116"/>
    </row>
    <row r="352" spans="1:10" ht="16.5" customHeight="1" x14ac:dyDescent="0.35">
      <c r="A352" s="67"/>
      <c r="B352" s="78"/>
      <c r="C352" s="146" t="s">
        <v>81</v>
      </c>
      <c r="D352" s="246">
        <v>10</v>
      </c>
      <c r="E352" s="168">
        <f>0</f>
        <v>0</v>
      </c>
      <c r="F352" s="168">
        <f>3.78662</f>
        <v>3.7866200000000001</v>
      </c>
      <c r="G352" s="124">
        <f>D352-F352</f>
        <v>6.2133799999999999</v>
      </c>
      <c r="H352" s="168">
        <f>2.73874</f>
        <v>2.73874</v>
      </c>
      <c r="I352" s="67"/>
      <c r="J352" s="249"/>
    </row>
    <row r="353" spans="1:10" ht="18.75" customHeight="1" x14ac:dyDescent="0.35">
      <c r="A353" s="67"/>
      <c r="B353" s="250"/>
      <c r="C353" s="146" t="s">
        <v>95</v>
      </c>
      <c r="D353" s="222"/>
      <c r="E353" s="168">
        <f>0.44958</f>
        <v>0.44957999999999998</v>
      </c>
      <c r="F353" s="168">
        <f>2.52716</f>
        <v>2.5271599999999999</v>
      </c>
      <c r="G353" s="124">
        <f>D353-F353</f>
        <v>-2.5271599999999999</v>
      </c>
      <c r="H353" s="168">
        <f>1.81523</f>
        <v>1.8152299999999999</v>
      </c>
      <c r="I353" s="284"/>
      <c r="J353" s="120"/>
    </row>
    <row r="354" spans="1:10" ht="14.15" customHeight="1" x14ac:dyDescent="0.35">
      <c r="A354" s="1"/>
      <c r="B354" s="254"/>
      <c r="C354" s="179" t="s">
        <v>87</v>
      </c>
      <c r="D354" s="6">
        <f>D339</f>
        <v>3851</v>
      </c>
      <c r="E354" s="190">
        <f>SUM(E350:E353)</f>
        <v>18.194510000000001</v>
      </c>
      <c r="F354" s="190">
        <f>SUM(F350:F353)</f>
        <v>3160.6469099999999</v>
      </c>
      <c r="G354" s="190">
        <f>D354-F354</f>
        <v>690.35309000000007</v>
      </c>
      <c r="H354" s="190">
        <f>H350+H351+H352+H353</f>
        <v>3366.85032</v>
      </c>
      <c r="I354" s="1"/>
      <c r="J354" s="120"/>
    </row>
    <row r="355" spans="1:10" ht="14.15" customHeight="1" x14ac:dyDescent="0.3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5" customHeight="1" x14ac:dyDescent="0.3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5" customHeight="1" x14ac:dyDescent="0.35">
      <c r="A357" s="1"/>
      <c r="C357" s="150" t="s">
        <v>113</v>
      </c>
    </row>
    <row r="358" spans="1:10" ht="14.15" customHeight="1" x14ac:dyDescent="0.35">
      <c r="A358" s="1" t="s">
        <v>113</v>
      </c>
    </row>
    <row r="359" spans="1:10" ht="14.15" customHeight="1" x14ac:dyDescent="0.35">
      <c r="A359" s="1" t="s">
        <v>113</v>
      </c>
    </row>
    <row r="360" spans="1:10" ht="14.15" customHeight="1" x14ac:dyDescent="0.35">
      <c r="A360" s="1"/>
      <c r="C360" s="150" t="s">
        <v>113</v>
      </c>
    </row>
    <row r="361" spans="1:10" x14ac:dyDescent="0.35">
      <c r="A361" s="1"/>
      <c r="C361" s="150" t="s">
        <v>113</v>
      </c>
    </row>
    <row r="362" spans="1:10" ht="14.15" customHeight="1" x14ac:dyDescent="0.35">
      <c r="A362" s="1"/>
      <c r="C362" s="150" t="s">
        <v>113</v>
      </c>
    </row>
    <row r="363" spans="1:10" ht="14.15" customHeight="1" x14ac:dyDescent="0.35">
      <c r="A363" s="1"/>
      <c r="C363" s="150" t="s">
        <v>113</v>
      </c>
    </row>
    <row r="364" spans="1:10" ht="30" customHeight="1" x14ac:dyDescent="0.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49999999999999" customHeight="1" x14ac:dyDescent="0.3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3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3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35">
      <c r="B368" s="72"/>
      <c r="C368" s="259" t="s">
        <v>84</v>
      </c>
      <c r="D368" s="270">
        <v>35008</v>
      </c>
      <c r="E368" s="252" t="s">
        <v>4</v>
      </c>
      <c r="F368" s="103">
        <v>21508</v>
      </c>
      <c r="G368" s="248" t="s">
        <v>20</v>
      </c>
      <c r="H368" s="46">
        <v>12051</v>
      </c>
      <c r="I368" s="150"/>
      <c r="J368" s="130"/>
    </row>
    <row r="369" spans="1:10" ht="14.25" customHeight="1" x14ac:dyDescent="0.35">
      <c r="B369" s="72"/>
      <c r="C369" s="248" t="s">
        <v>91</v>
      </c>
      <c r="D369" s="46">
        <v>23995</v>
      </c>
      <c r="E369" s="178" t="s">
        <v>94</v>
      </c>
      <c r="F369" s="47">
        <v>8000</v>
      </c>
      <c r="G369" s="248" t="s">
        <v>21</v>
      </c>
      <c r="H369" s="46">
        <v>3136</v>
      </c>
      <c r="I369" s="150"/>
      <c r="J369" s="130"/>
    </row>
    <row r="370" spans="1:10" ht="14.25" customHeight="1" x14ac:dyDescent="0.35">
      <c r="B370" s="72"/>
      <c r="C370" s="248" t="s">
        <v>90</v>
      </c>
      <c r="D370" s="46">
        <v>8105</v>
      </c>
      <c r="E370" s="178" t="s">
        <v>59</v>
      </c>
      <c r="F370" s="47">
        <v>5500</v>
      </c>
      <c r="G370" s="248" t="s">
        <v>99</v>
      </c>
      <c r="H370" s="46">
        <v>4867</v>
      </c>
      <c r="I370" s="150"/>
      <c r="J370" s="130"/>
    </row>
    <row r="371" spans="1:10" ht="14.15" customHeight="1" x14ac:dyDescent="0.35">
      <c r="B371" s="72"/>
      <c r="C371" s="248"/>
      <c r="D371" s="46"/>
      <c r="E371" s="131"/>
      <c r="F371" s="144"/>
      <c r="G371" s="248" t="s">
        <v>100</v>
      </c>
      <c r="H371" s="46">
        <v>1454</v>
      </c>
      <c r="I371" s="150"/>
      <c r="J371" s="130"/>
    </row>
    <row r="372" spans="1:10" ht="14.15" customHeight="1" x14ac:dyDescent="0.3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4" customHeight="1" x14ac:dyDescent="0.35">
      <c r="B373" s="72"/>
      <c r="C373" s="211" t="s">
        <v>133</v>
      </c>
      <c r="D373" s="178"/>
      <c r="E373" s="178"/>
      <c r="F373" s="178"/>
      <c r="G373" s="1"/>
      <c r="H373" s="178"/>
      <c r="I373" s="178"/>
      <c r="J373" s="244"/>
    </row>
    <row r="374" spans="1:10" ht="13.4" customHeight="1" x14ac:dyDescent="0.35">
      <c r="B374" s="72"/>
      <c r="C374" s="212" t="s">
        <v>134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3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3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3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3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35">
      <c r="B379" s="72"/>
      <c r="C379" s="223" t="s">
        <v>16</v>
      </c>
      <c r="D379" s="232" t="s">
        <v>17</v>
      </c>
      <c r="E379" s="68" t="s">
        <v>140</v>
      </c>
      <c r="F379" s="223" t="s">
        <v>146</v>
      </c>
      <c r="G379" s="223" t="s">
        <v>147</v>
      </c>
      <c r="H379" s="223" t="s">
        <v>148</v>
      </c>
      <c r="I379" s="223" t="s">
        <v>149</v>
      </c>
      <c r="J379" s="130"/>
    </row>
    <row r="380" spans="1:10" ht="14.15" customHeight="1" x14ac:dyDescent="0.35">
      <c r="A380" s="218"/>
      <c r="B380" s="72"/>
      <c r="C380" s="247" t="s">
        <v>19</v>
      </c>
      <c r="D380" s="251">
        <f t="shared" ref="D380:I380" si="17">D384+D383+D382+D381</f>
        <v>21508</v>
      </c>
      <c r="E380" s="251">
        <v>22969</v>
      </c>
      <c r="F380" s="253">
        <f t="shared" si="17"/>
        <v>452.44168000000002</v>
      </c>
      <c r="G380" s="253">
        <f t="shared" si="17"/>
        <v>19942.030500000001</v>
      </c>
      <c r="H380" s="253">
        <f>H384+H383+H382+H381</f>
        <v>3026.9694999999997</v>
      </c>
      <c r="I380" s="253">
        <f t="shared" si="17"/>
        <v>16865.734689999997</v>
      </c>
      <c r="J380" s="130"/>
    </row>
    <row r="381" spans="1:10" ht="14.15" customHeight="1" x14ac:dyDescent="0.35">
      <c r="A381" s="218"/>
      <c r="B381" s="72"/>
      <c r="C381" s="255" t="s">
        <v>103</v>
      </c>
      <c r="D381" s="256">
        <v>12051</v>
      </c>
      <c r="E381" s="256">
        <v>13190</v>
      </c>
      <c r="F381" s="257">
        <f>0</f>
        <v>0</v>
      </c>
      <c r="G381" s="257">
        <f>12916.89774</f>
        <v>12916.89774</v>
      </c>
      <c r="H381" s="257">
        <f t="shared" ref="H381:H385" si="18">E381-G381</f>
        <v>273.10225999999966</v>
      </c>
      <c r="I381" s="257">
        <f>10052.61508</f>
        <v>10052.61508</v>
      </c>
      <c r="J381" s="130"/>
    </row>
    <row r="382" spans="1:10" ht="14.15" customHeight="1" x14ac:dyDescent="0.35">
      <c r="A382" s="218"/>
      <c r="B382" s="72"/>
      <c r="C382" s="260" t="s">
        <v>21</v>
      </c>
      <c r="D382" s="256">
        <v>3136</v>
      </c>
      <c r="E382" s="256">
        <v>3433</v>
      </c>
      <c r="F382" s="257">
        <f>384.48</f>
        <v>384.48</v>
      </c>
      <c r="G382" s="257">
        <f>2382.55392</f>
        <v>2382.5539199999998</v>
      </c>
      <c r="H382" s="257">
        <f t="shared" si="18"/>
        <v>1050.4460800000002</v>
      </c>
      <c r="I382" s="257">
        <f>1599.53535</f>
        <v>1599.5353500000001</v>
      </c>
      <c r="J382" s="130"/>
    </row>
    <row r="383" spans="1:10" ht="14.15" customHeight="1" x14ac:dyDescent="0.35">
      <c r="A383" s="218"/>
      <c r="B383" s="72"/>
      <c r="C383" s="260" t="s">
        <v>100</v>
      </c>
      <c r="D383" s="256">
        <v>1454</v>
      </c>
      <c r="E383" s="256">
        <v>1483</v>
      </c>
      <c r="F383" s="257">
        <f>44.10888</f>
        <v>44.108879999999999</v>
      </c>
      <c r="G383" s="257">
        <f>2105.19753</f>
        <v>2105.1975299999999</v>
      </c>
      <c r="H383" s="257">
        <f t="shared" si="18"/>
        <v>-622.19752999999992</v>
      </c>
      <c r="I383" s="257">
        <f>2038.31196</f>
        <v>2038.31196</v>
      </c>
      <c r="J383" s="130"/>
    </row>
    <row r="384" spans="1:10" ht="14.15" customHeight="1" x14ac:dyDescent="0.35">
      <c r="A384" s="218"/>
      <c r="B384" s="72"/>
      <c r="C384" s="262" t="s">
        <v>141</v>
      </c>
      <c r="D384" s="263">
        <v>4867</v>
      </c>
      <c r="E384" s="263">
        <v>4863</v>
      </c>
      <c r="F384" s="257">
        <f>23.8528</f>
        <v>23.852799999999998</v>
      </c>
      <c r="G384" s="257">
        <f>2537.38131</f>
        <v>2537.3813100000002</v>
      </c>
      <c r="H384" s="257">
        <f t="shared" si="18"/>
        <v>2325.6186899999998</v>
      </c>
      <c r="I384" s="257">
        <f>3175.2723</f>
        <v>3175.2723000000001</v>
      </c>
      <c r="J384" s="130"/>
    </row>
    <row r="385" spans="1:10" ht="14.15" customHeight="1" x14ac:dyDescent="0.35">
      <c r="A385" s="218"/>
      <c r="B385" s="72"/>
      <c r="C385" s="265" t="s">
        <v>59</v>
      </c>
      <c r="D385" s="266">
        <v>5500</v>
      </c>
      <c r="E385" s="266">
        <v>5500</v>
      </c>
      <c r="F385" s="268">
        <f>102.976</f>
        <v>102.976</v>
      </c>
      <c r="G385" s="268">
        <f>2267.08378</f>
        <v>2267.0837799999999</v>
      </c>
      <c r="H385" s="268">
        <f t="shared" si="18"/>
        <v>3232.9162200000001</v>
      </c>
      <c r="I385" s="268">
        <f>5113.83428</f>
        <v>5113.83428</v>
      </c>
      <c r="J385" s="130"/>
    </row>
    <row r="386" spans="1:10" ht="14.15" customHeight="1" x14ac:dyDescent="0.3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33.751359999999998</v>
      </c>
      <c r="G386" s="269">
        <f>G388+G387</f>
        <v>4043.3227099999999</v>
      </c>
      <c r="H386" s="269">
        <f>E386-G386</f>
        <v>3956.6772900000001</v>
      </c>
      <c r="I386" s="269">
        <f>I388+I387</f>
        <v>4622.4863000000005</v>
      </c>
      <c r="J386" s="130"/>
    </row>
    <row r="387" spans="1:10" ht="14.15" customHeight="1" x14ac:dyDescent="0.35">
      <c r="A387" s="218"/>
      <c r="B387" s="72"/>
      <c r="C387" s="260" t="s">
        <v>53</v>
      </c>
      <c r="D387" s="271"/>
      <c r="E387" s="256"/>
      <c r="F387" s="257">
        <f>3.4506</f>
        <v>3.4506000000000001</v>
      </c>
      <c r="G387" s="257">
        <f>1065.53427</f>
        <v>1065.5342700000001</v>
      </c>
      <c r="H387" s="257"/>
      <c r="I387" s="257">
        <f>863.37623</f>
        <v>863.37622999999996</v>
      </c>
      <c r="J387" s="130"/>
    </row>
    <row r="388" spans="1:10" ht="14.15" customHeight="1" x14ac:dyDescent="0.35">
      <c r="A388" s="218"/>
      <c r="B388" s="72"/>
      <c r="C388" s="273" t="s">
        <v>104</v>
      </c>
      <c r="D388" s="274"/>
      <c r="E388" s="277"/>
      <c r="F388" s="278">
        <f>30.30076</f>
        <v>30.30076</v>
      </c>
      <c r="G388" s="278">
        <f>2977.78844</f>
        <v>2977.7884399999998</v>
      </c>
      <c r="H388" s="278"/>
      <c r="I388" s="278">
        <f>3759.11007</f>
        <v>3759.1100700000002</v>
      </c>
      <c r="J388" s="130"/>
    </row>
    <row r="389" spans="1:10" ht="14.15" customHeight="1" x14ac:dyDescent="0.35">
      <c r="A389" s="218"/>
      <c r="B389" s="72"/>
      <c r="C389" s="265" t="s">
        <v>34</v>
      </c>
      <c r="D389" s="266">
        <v>13</v>
      </c>
      <c r="E389" s="266">
        <v>13</v>
      </c>
      <c r="F389" s="268">
        <f>0</f>
        <v>0</v>
      </c>
      <c r="G389" s="268">
        <f>0.1565</f>
        <v>0.1565</v>
      </c>
      <c r="H389" s="268">
        <f>E389-G389</f>
        <v>12.843500000000001</v>
      </c>
      <c r="I389" s="268">
        <f>0.7485</f>
        <v>0.74850000000000005</v>
      </c>
      <c r="J389" s="130"/>
    </row>
    <row r="390" spans="1:10" ht="14.15" customHeight="1" x14ac:dyDescent="0.35">
      <c r="A390" s="218"/>
      <c r="B390" s="72"/>
      <c r="C390" s="279" t="s">
        <v>105</v>
      </c>
      <c r="D390" s="282"/>
      <c r="E390" s="283"/>
      <c r="F390" s="268">
        <f>11.50884</f>
        <v>11.508839999999999</v>
      </c>
      <c r="G390" s="268">
        <f>125.41024</f>
        <v>125.41024</v>
      </c>
      <c r="H390" s="268">
        <f>E390-G390</f>
        <v>-125.41024</v>
      </c>
      <c r="I390" s="268">
        <f>124.30213</f>
        <v>124.30213000000001</v>
      </c>
      <c r="J390" s="130"/>
    </row>
    <row r="391" spans="1:10" ht="19.5" customHeight="1" x14ac:dyDescent="0.35">
      <c r="A391" s="218"/>
      <c r="B391" s="72"/>
      <c r="C391" s="285" t="s">
        <v>40</v>
      </c>
      <c r="D391" s="286">
        <f>D380+D385+D386+D389+D390</f>
        <v>35021</v>
      </c>
      <c r="E391" s="286">
        <v>36482</v>
      </c>
      <c r="F391" s="287">
        <f t="shared" ref="F391:I391" si="19">F380+F385+F386+F389+F390</f>
        <v>600.67787999999996</v>
      </c>
      <c r="G391" s="287">
        <f t="shared" si="19"/>
        <v>26378.003730000004</v>
      </c>
      <c r="H391" s="287">
        <f>H380+H385+H386+H389+H390</f>
        <v>10103.996270000001</v>
      </c>
      <c r="I391" s="287">
        <f t="shared" si="19"/>
        <v>26727.105899999999</v>
      </c>
      <c r="J391" s="130"/>
    </row>
    <row r="392" spans="1:10" ht="14.15" customHeight="1" x14ac:dyDescent="0.35">
      <c r="A392" s="218"/>
      <c r="B392" s="72"/>
      <c r="C392" s="161" t="s">
        <v>106</v>
      </c>
      <c r="D392" s="289"/>
      <c r="E392" s="289"/>
      <c r="F392" s="4"/>
      <c r="G392" s="4"/>
      <c r="H392" s="5"/>
      <c r="I392" s="5"/>
      <c r="J392" s="130"/>
    </row>
    <row r="393" spans="1:10" ht="14.15" customHeight="1" x14ac:dyDescent="0.35">
      <c r="A393" s="218"/>
      <c r="B393" s="72"/>
      <c r="C393" s="101" t="s">
        <v>142</v>
      </c>
      <c r="D393" s="289"/>
      <c r="E393" s="289"/>
      <c r="F393" s="4"/>
      <c r="G393" s="4"/>
      <c r="H393" s="7"/>
      <c r="I393" s="5"/>
      <c r="J393" s="130"/>
    </row>
    <row r="394" spans="1:10" ht="14.15" customHeight="1" x14ac:dyDescent="0.35">
      <c r="A394" s="218"/>
      <c r="B394" s="72"/>
      <c r="C394" s="101"/>
      <c r="D394" s="289"/>
      <c r="E394" s="289"/>
      <c r="F394" s="4"/>
      <c r="G394" s="4"/>
      <c r="H394" s="5"/>
      <c r="I394" s="7"/>
      <c r="J394" s="130"/>
    </row>
    <row r="395" spans="1:10" ht="15.75" customHeight="1" x14ac:dyDescent="0.3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35">
      <c r="A396" s="218"/>
      <c r="B396" s="150" t="s">
        <v>113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35">
      <c r="A397" s="218"/>
      <c r="B397" s="150" t="s">
        <v>113</v>
      </c>
      <c r="C397" s="14"/>
      <c r="D397" s="1"/>
      <c r="E397" s="1"/>
      <c r="F397" s="1"/>
      <c r="G397" s="1"/>
      <c r="H397" s="1"/>
      <c r="I397" s="1"/>
      <c r="J397" s="150"/>
    </row>
    <row r="398" spans="1:10" ht="14.15" customHeight="1" x14ac:dyDescent="0.35">
      <c r="A398" s="218"/>
      <c r="C398" s="150" t="s">
        <v>113</v>
      </c>
      <c r="D398" s="156"/>
    </row>
    <row r="399" spans="1:10" ht="14.15" customHeight="1" x14ac:dyDescent="0.3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5" customHeight="1" x14ac:dyDescent="0.35">
      <c r="A400" s="218"/>
      <c r="B400" s="72"/>
      <c r="C400" s="219" t="s">
        <v>107</v>
      </c>
      <c r="D400" s="156"/>
      <c r="E400" s="150"/>
      <c r="G400" s="150"/>
      <c r="H400" s="150"/>
      <c r="I400" s="150"/>
      <c r="J400" s="130"/>
    </row>
    <row r="401" spans="1:10" ht="14.15" customHeight="1" x14ac:dyDescent="0.3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5" customHeight="1" x14ac:dyDescent="0.3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5" customHeight="1" x14ac:dyDescent="0.3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5" customHeight="1" x14ac:dyDescent="0.3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5" customHeight="1" x14ac:dyDescent="0.3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5" customHeight="1" x14ac:dyDescent="0.3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5" customHeight="1" x14ac:dyDescent="0.35">
      <c r="A407" s="218"/>
      <c r="B407" s="72"/>
      <c r="C407" s="301" t="s">
        <v>138</v>
      </c>
      <c r="D407" s="301"/>
      <c r="E407" s="301"/>
      <c r="F407" s="301"/>
      <c r="G407" s="214"/>
      <c r="H407" s="214"/>
      <c r="I407" s="150"/>
      <c r="J407" s="130"/>
    </row>
    <row r="408" spans="1:10" ht="14.15" customHeight="1" x14ac:dyDescent="0.3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5" customHeight="1" x14ac:dyDescent="0.3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5" customHeight="1" x14ac:dyDescent="0.3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3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35">
      <c r="A412" s="218"/>
      <c r="B412" s="198"/>
      <c r="C412" s="20" t="s">
        <v>108</v>
      </c>
      <c r="D412" s="22" t="s">
        <v>109</v>
      </c>
      <c r="E412" s="20" t="s">
        <v>146</v>
      </c>
      <c r="F412" s="20" t="s">
        <v>147</v>
      </c>
      <c r="G412" s="25" t="s">
        <v>148</v>
      </c>
      <c r="H412" s="20" t="s">
        <v>149</v>
      </c>
      <c r="I412" s="224"/>
      <c r="J412" s="13"/>
    </row>
    <row r="413" spans="1:10" ht="14.15" customHeight="1" x14ac:dyDescent="0.35">
      <c r="A413" s="218"/>
      <c r="B413" s="72"/>
      <c r="C413" s="265" t="s">
        <v>110</v>
      </c>
      <c r="D413" s="204">
        <v>894</v>
      </c>
      <c r="E413" s="26">
        <f>SUM(E414:E415)</f>
        <v>0</v>
      </c>
      <c r="F413" s="26">
        <f>SUM(F414:F415)</f>
        <v>1023.95488</v>
      </c>
      <c r="G413" s="85">
        <f>D413-F413</f>
        <v>-129.95488</v>
      </c>
      <c r="H413" s="26">
        <f>SUM(H414:H415)</f>
        <v>988.40122999999994</v>
      </c>
      <c r="I413" s="27"/>
      <c r="J413" s="130"/>
    </row>
    <row r="414" spans="1:10" ht="14.15" customHeight="1" x14ac:dyDescent="0.35">
      <c r="A414" s="218"/>
      <c r="B414" s="72"/>
      <c r="C414" s="29" t="s">
        <v>8</v>
      </c>
      <c r="E414" s="205">
        <f>0</f>
        <v>0</v>
      </c>
      <c r="F414" s="205">
        <f>779.76008</f>
        <v>779.76008000000002</v>
      </c>
      <c r="G414" s="206"/>
      <c r="H414" s="205">
        <f>753.71223</f>
        <v>753.71222999999998</v>
      </c>
      <c r="I414" s="150"/>
      <c r="J414" s="130"/>
    </row>
    <row r="415" spans="1:10" ht="14.15" customHeight="1" x14ac:dyDescent="0.35">
      <c r="A415" s="218"/>
      <c r="B415" s="72"/>
      <c r="C415" s="29" t="s">
        <v>11</v>
      </c>
      <c r="D415" s="207"/>
      <c r="E415" s="208">
        <f>0</f>
        <v>0</v>
      </c>
      <c r="F415" s="208">
        <f>244.1948</f>
        <v>244.19479999999999</v>
      </c>
      <c r="G415" s="209"/>
      <c r="H415" s="208">
        <f>234.689</f>
        <v>234.68899999999999</v>
      </c>
      <c r="I415" s="150"/>
      <c r="J415" s="130"/>
    </row>
    <row r="416" spans="1:10" ht="14.15" customHeight="1" x14ac:dyDescent="0.35">
      <c r="A416" s="218"/>
      <c r="B416" s="72"/>
      <c r="C416" s="265" t="s">
        <v>111</v>
      </c>
      <c r="D416" s="10">
        <v>894</v>
      </c>
      <c r="E416" s="26">
        <f>SUM(E417:E418)</f>
        <v>55.590500000000006</v>
      </c>
      <c r="F416" s="26">
        <f>SUM(F417:F418)</f>
        <v>136.96459999999999</v>
      </c>
      <c r="G416" s="85">
        <f>D416-F416</f>
        <v>757.03539999999998</v>
      </c>
      <c r="H416" s="26">
        <f>SUM(H417:H418)</f>
        <v>157.1</v>
      </c>
      <c r="I416" s="27"/>
      <c r="J416" s="130"/>
    </row>
    <row r="417" spans="1:10" ht="14.15" customHeight="1" x14ac:dyDescent="0.35">
      <c r="A417" s="218"/>
      <c r="B417" s="72"/>
      <c r="C417" s="29" t="s">
        <v>8</v>
      </c>
      <c r="D417" s="42"/>
      <c r="E417" s="30">
        <f>38.502</f>
        <v>38.502000000000002</v>
      </c>
      <c r="F417" s="30">
        <f>95.1725</f>
        <v>95.172499999999999</v>
      </c>
      <c r="G417" s="97"/>
      <c r="H417" s="30">
        <f>108.8925</f>
        <v>108.8925</v>
      </c>
      <c r="I417" s="150"/>
      <c r="J417" s="130"/>
    </row>
    <row r="418" spans="1:10" ht="14.15" customHeight="1" x14ac:dyDescent="0.35">
      <c r="A418" s="218"/>
      <c r="B418" s="72"/>
      <c r="C418" s="29" t="s">
        <v>11</v>
      </c>
      <c r="D418" s="221"/>
      <c r="E418" s="30">
        <f>17.0885</f>
        <v>17.0885</v>
      </c>
      <c r="F418" s="30">
        <f>41.7921</f>
        <v>41.792099999999998</v>
      </c>
      <c r="G418" s="108"/>
      <c r="H418" s="30">
        <f>48.2075</f>
        <v>48.207500000000003</v>
      </c>
      <c r="I418" s="150"/>
      <c r="J418" s="130"/>
    </row>
    <row r="419" spans="1:10" ht="14.15" customHeight="1" x14ac:dyDescent="0.35">
      <c r="A419" s="218"/>
      <c r="B419" s="72"/>
      <c r="C419" s="265" t="s">
        <v>112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5" customHeight="1" x14ac:dyDescent="0.3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5" customHeight="1" x14ac:dyDescent="0.3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5" customHeight="1" x14ac:dyDescent="0.35">
      <c r="A422" s="218"/>
      <c r="B422" s="72"/>
      <c r="C422" s="279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5" customHeight="1" x14ac:dyDescent="0.35">
      <c r="A423" s="218"/>
      <c r="B423" s="72"/>
      <c r="C423" s="285" t="s">
        <v>87</v>
      </c>
      <c r="D423" s="39">
        <f>D413+D416+D419</f>
        <v>2681</v>
      </c>
      <c r="E423" s="40">
        <f>E413+E416+E419+E422</f>
        <v>55.590500000000006</v>
      </c>
      <c r="F423" s="40">
        <f>F413+F416+F419+F422</f>
        <v>1160.91948</v>
      </c>
      <c r="G423" s="41">
        <f>D423-F423</f>
        <v>1520.08052</v>
      </c>
      <c r="H423" s="40">
        <f>H413+H416+H419+H422</f>
        <v>1145.5012299999999</v>
      </c>
      <c r="I423" s="27"/>
      <c r="J423" s="130"/>
    </row>
    <row r="424" spans="1:10" ht="42" customHeight="1" x14ac:dyDescent="0.35">
      <c r="A424" s="218"/>
      <c r="B424" s="72"/>
      <c r="C424" s="292" t="s">
        <v>117</v>
      </c>
      <c r="D424" s="292"/>
      <c r="E424" s="292"/>
      <c r="F424" s="292"/>
      <c r="G424" s="292"/>
      <c r="H424" s="292"/>
      <c r="I424" s="292"/>
      <c r="J424" s="293"/>
    </row>
    <row r="425" spans="1:10" ht="14.15" customHeight="1" x14ac:dyDescent="0.3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0" hidden="1" customHeight="1" x14ac:dyDescent="0.35"/>
    <row r="65609" ht="0" hidden="1" customHeight="1" x14ac:dyDescent="0.35"/>
    <row r="65610" ht="16.5" customHeight="1" x14ac:dyDescent="0.35"/>
  </sheetData>
  <mergeCells count="15">
    <mergeCell ref="C17:H17"/>
    <mergeCell ref="B2:J2"/>
    <mergeCell ref="B9:J9"/>
    <mergeCell ref="C11:D11"/>
    <mergeCell ref="E11:F11"/>
    <mergeCell ref="G11:H11"/>
    <mergeCell ref="C424:J424"/>
    <mergeCell ref="C52:H52"/>
    <mergeCell ref="E55:E59"/>
    <mergeCell ref="H55:H59"/>
    <mergeCell ref="C81:D81"/>
    <mergeCell ref="E81:F81"/>
    <mergeCell ref="G81:H81"/>
    <mergeCell ref="C407:F407"/>
    <mergeCell ref="D55:D59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46&amp;R18.11.2024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2024-11-18T08:58:34Z</dcterms:modified>
</cp:coreProperties>
</file>