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D10247FF-25BB-4590-9615-E24A91DD31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G121" i="1" s="1"/>
  <c r="G124" i="1"/>
  <c r="H345" i="1"/>
  <c r="F345" i="1"/>
  <c r="E345" i="1"/>
  <c r="D345" i="1"/>
  <c r="G344" i="1"/>
  <c r="G345" i="1" s="1"/>
  <c r="G343" i="1"/>
  <c r="E336" i="1"/>
  <c r="D324" i="1"/>
  <c r="H323" i="1"/>
  <c r="G323" i="1"/>
  <c r="F323" i="1"/>
  <c r="E323" i="1"/>
  <c r="E324" i="1" s="1"/>
  <c r="H322" i="1"/>
  <c r="H324" i="1" s="1"/>
  <c r="F322" i="1"/>
  <c r="F324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E300" i="1" s="1"/>
  <c r="F300" i="1"/>
  <c r="G300" i="1" s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F294" i="1" s="1"/>
  <c r="E295" i="1"/>
  <c r="H294" i="1"/>
  <c r="H304" i="1" s="1"/>
  <c r="E294" i="1"/>
  <c r="E304" i="1" s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I262" i="1" s="1"/>
  <c r="I273" i="1" s="1"/>
  <c r="H266" i="1"/>
  <c r="G266" i="1"/>
  <c r="F266" i="1"/>
  <c r="I265" i="1"/>
  <c r="G265" i="1"/>
  <c r="G262" i="1" s="1"/>
  <c r="F265" i="1"/>
  <c r="I264" i="1"/>
  <c r="H264" i="1"/>
  <c r="G264" i="1"/>
  <c r="F264" i="1"/>
  <c r="I263" i="1"/>
  <c r="G263" i="1"/>
  <c r="H263" i="1" s="1"/>
  <c r="F263" i="1"/>
  <c r="F262" i="1"/>
  <c r="F273" i="1" s="1"/>
  <c r="E262" i="1"/>
  <c r="D262" i="1"/>
  <c r="H254" i="1"/>
  <c r="F254" i="1"/>
  <c r="H241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E241" i="1" s="1"/>
  <c r="H237" i="1"/>
  <c r="F237" i="1"/>
  <c r="F241" i="1" s="1"/>
  <c r="G241" i="1" s="1"/>
  <c r="E237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E215" i="1" s="1"/>
  <c r="E219" i="1" s="1"/>
  <c r="F215" i="1"/>
  <c r="F219" i="1" s="1"/>
  <c r="D206" i="1"/>
  <c r="H205" i="1"/>
  <c r="G205" i="1"/>
  <c r="F205" i="1"/>
  <c r="E205" i="1"/>
  <c r="H204" i="1"/>
  <c r="H202" i="1" s="1"/>
  <c r="H206" i="1" s="1"/>
  <c r="F204" i="1"/>
  <c r="E204" i="1"/>
  <c r="H203" i="1"/>
  <c r="F203" i="1"/>
  <c r="E203" i="1"/>
  <c r="E202" i="1" s="1"/>
  <c r="E206" i="1" s="1"/>
  <c r="G202" i="1"/>
  <c r="F202" i="1"/>
  <c r="F206" i="1" s="1"/>
  <c r="G206" i="1" s="1"/>
  <c r="E192" i="1"/>
  <c r="D192" i="1"/>
  <c r="I191" i="1"/>
  <c r="G191" i="1"/>
  <c r="H191" i="1" s="1"/>
  <c r="F191" i="1"/>
  <c r="I190" i="1"/>
  <c r="G190" i="1"/>
  <c r="H190" i="1" s="1"/>
  <c r="F190" i="1"/>
  <c r="F192" i="1" s="1"/>
  <c r="I189" i="1"/>
  <c r="I192" i="1" s="1"/>
  <c r="G189" i="1"/>
  <c r="H189" i="1" s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E169" i="1" s="1"/>
  <c r="H164" i="1"/>
  <c r="H163" i="1" s="1"/>
  <c r="F164" i="1"/>
  <c r="F163" i="1" s="1"/>
  <c r="G163" i="1" s="1"/>
  <c r="E164" i="1"/>
  <c r="H162" i="1"/>
  <c r="G162" i="1"/>
  <c r="F162" i="1"/>
  <c r="E162" i="1"/>
  <c r="H161" i="1"/>
  <c r="F161" i="1"/>
  <c r="E161" i="1"/>
  <c r="H160" i="1"/>
  <c r="F160" i="1"/>
  <c r="E160" i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H126" i="1" s="1"/>
  <c r="F127" i="1"/>
  <c r="F126" i="1" s="1"/>
  <c r="I126" i="1"/>
  <c r="E126" i="1"/>
  <c r="D126" i="1"/>
  <c r="D120" i="1" s="1"/>
  <c r="I125" i="1"/>
  <c r="H125" i="1"/>
  <c r="F125" i="1"/>
  <c r="I124" i="1"/>
  <c r="H124" i="1"/>
  <c r="F124" i="1"/>
  <c r="I123" i="1"/>
  <c r="H123" i="1"/>
  <c r="G123" i="1"/>
  <c r="F123" i="1"/>
  <c r="I122" i="1"/>
  <c r="G122" i="1"/>
  <c r="H122" i="1" s="1"/>
  <c r="F122" i="1"/>
  <c r="F121" i="1" s="1"/>
  <c r="F120" i="1" s="1"/>
  <c r="I121" i="1"/>
  <c r="I120" i="1" s="1"/>
  <c r="E121" i="1"/>
  <c r="D121" i="1"/>
  <c r="E120" i="1"/>
  <c r="I119" i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H115" i="1" s="1"/>
  <c r="G116" i="1"/>
  <c r="G115" i="1" s="1"/>
  <c r="F116" i="1"/>
  <c r="F115" i="1"/>
  <c r="E115" i="1"/>
  <c r="E137" i="1" s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F83" i="1" s="1"/>
  <c r="F82" i="1" s="1"/>
  <c r="I83" i="1"/>
  <c r="I82" i="1" s="1"/>
  <c r="E83" i="1"/>
  <c r="E82" i="1" s="1"/>
  <c r="D83" i="1"/>
  <c r="D82" i="1"/>
  <c r="I81" i="1"/>
  <c r="G81" i="1"/>
  <c r="H81" i="1" s="1"/>
  <c r="H79" i="1" s="1"/>
  <c r="F81" i="1"/>
  <c r="I80" i="1"/>
  <c r="I79" i="1" s="1"/>
  <c r="I94" i="1" s="1"/>
  <c r="H80" i="1"/>
  <c r="G80" i="1"/>
  <c r="F80" i="1"/>
  <c r="G79" i="1"/>
  <c r="F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G34" i="1"/>
  <c r="G33" i="1" s="1"/>
  <c r="G25" i="1" s="1"/>
  <c r="F34" i="1"/>
  <c r="F33" i="1" s="1"/>
  <c r="E33" i="1"/>
  <c r="D33" i="1"/>
  <c r="D25" i="1" s="1"/>
  <c r="I32" i="1"/>
  <c r="H32" i="1"/>
  <c r="G32" i="1"/>
  <c r="F32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G28" i="1"/>
  <c r="F28" i="1"/>
  <c r="I27" i="1"/>
  <c r="G27" i="1"/>
  <c r="G26" i="1" s="1"/>
  <c r="F27" i="1"/>
  <c r="F26" i="1" s="1"/>
  <c r="E26" i="1"/>
  <c r="E25" i="1" s="1"/>
  <c r="D26" i="1"/>
  <c r="I24" i="1"/>
  <c r="G24" i="1"/>
  <c r="H24" i="1" s="1"/>
  <c r="H22" i="1" s="1"/>
  <c r="F24" i="1"/>
  <c r="F22" i="1" s="1"/>
  <c r="I23" i="1"/>
  <c r="I22" i="1" s="1"/>
  <c r="H23" i="1"/>
  <c r="G23" i="1"/>
  <c r="F23" i="1"/>
  <c r="G22" i="1"/>
  <c r="E22" i="1"/>
  <c r="D22" i="1"/>
  <c r="D42" i="1" s="1"/>
  <c r="H16" i="1"/>
  <c r="F16" i="1"/>
  <c r="D16" i="1"/>
  <c r="H121" i="1" l="1"/>
  <c r="H120" i="1" s="1"/>
  <c r="G219" i="1"/>
  <c r="H137" i="1"/>
  <c r="G273" i="1"/>
  <c r="H94" i="1"/>
  <c r="F94" i="1"/>
  <c r="G94" i="1"/>
  <c r="D137" i="1"/>
  <c r="E42" i="1"/>
  <c r="H33" i="1"/>
  <c r="H25" i="1" s="1"/>
  <c r="H42" i="1" s="1"/>
  <c r="F137" i="1"/>
  <c r="F169" i="1"/>
  <c r="F304" i="1"/>
  <c r="G294" i="1"/>
  <c r="G304" i="1"/>
  <c r="I137" i="1"/>
  <c r="F42" i="1"/>
  <c r="G42" i="1"/>
  <c r="I26" i="1"/>
  <c r="I25" i="1" s="1"/>
  <c r="I42" i="1" s="1"/>
  <c r="F25" i="1"/>
  <c r="H169" i="1"/>
  <c r="G169" i="1"/>
  <c r="H27" i="1"/>
  <c r="H26" i="1" s="1"/>
  <c r="H84" i="1"/>
  <c r="H83" i="1" s="1"/>
  <c r="H82" i="1" s="1"/>
  <c r="G192" i="1"/>
  <c r="H192" i="1" s="1"/>
  <c r="G215" i="1"/>
  <c r="H265" i="1"/>
  <c r="H262" i="1" s="1"/>
  <c r="H273" i="1" s="1"/>
  <c r="G126" i="1"/>
  <c r="G120" i="1" s="1"/>
  <c r="G137" i="1" s="1"/>
  <c r="H34" i="1"/>
  <c r="G160" i="1"/>
  <c r="G237" i="1"/>
  <c r="G322" i="1"/>
  <c r="G324" i="1" s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<sst xmlns="http://schemas.openxmlformats.org/spreadsheetml/2006/main" count="392" uniqueCount="166">
  <si>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</si>
  <si>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</si>
  <si>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</si>
  <si>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</si>
  <si>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</si>
  <si>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</si>
  <si>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</si>
  <si>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</si>
  <si>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</si>
  <si>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</si>
  <si>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</si>
  <si>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</si>
  <si>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</si>
  <si>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</si>
  <si>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</si>
  <si>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</si>
  <si>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</si>
  <si>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</si>
  <si>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</si>
  <si>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</si>
  <si>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</si>
  <si>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</si>
  <si>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</si>
  <si>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</si>
  <si>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</si>
  <si>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</si>
  <si>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</si>
  <si>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</si>
  <si>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</si>
  <si>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</si>
  <si>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</si>
  <si>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</si>
  <si>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</si>
  <si>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</si>
  <si>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</si>
  <si>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</si>
  <si>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</si>
  <si>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</si>
  <si>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</si>
  <si>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</si>
  <si>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</si>
  <si>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</si>
  <si>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</si>
  <si>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</si>
  <si>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</si>
  <si>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</si>
  <si>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</si>
  <si>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</si>
  <si>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</si>
  <si>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</si>
  <si>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</si>
  <si>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</si>
  <si>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</si>
  <si>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</si>
  <si>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</si>
  <si>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</si>
  <si>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</si>
  <si>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</si>
  <si>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</si>
  <si>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</si>
  <si>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</si>
  <si>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</si>
  <si>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</si>
  <si>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</si>
  <si>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</si>
  <si>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</si>
  <si>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</si>
  <si>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</si>
  <si>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</si>
  <si>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</si>
  <si>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</si>
  <si>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</si>
  <si>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</si>
  <si>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</si>
  <si>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</si>
  <si>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</si>
  <si>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</si>
  <si>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</si>
  <si>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</si>
  <si>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</si>
  <si>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</si>
  <si>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</si>
  <si>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</si>
  <si>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</si>
  <si>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</si>
  <si>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</si>
  <si>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</si>
  <si>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</si>
  <si>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</si>
  <si>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</si>
  <si>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</si>
  <si>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</si>
  <si>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</si>
  <si>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</si>
  <si>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</si>
  <si>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</si>
  <si>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</si>
  <si>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</si>
  <si>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</si>
  <si>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</si>
  <si>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</si>
  <si>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</si>
  <si>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</si>
  <si>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</si>
  <si>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</si>
  <si>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</si>
  <si>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</si>
  <si>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</si>
  <si>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</si>
  <si>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</si>
  <si>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</si>
  <si>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</si>
  <si>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</si>
  <si>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</si>
  <si>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</si>
  <si>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</si>
  <si>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</si>
  <si>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</si>
  <si>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</si>
  <si>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</si>
  <si>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</si>
  <si>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</si>
  <si>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</si>
  <si>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</si>
  <si>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</si>
  <si>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</si>
  <si>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</si>
  <si>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</si>
  <si>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</si>
  <si>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</si>
  <si>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</si>
  <si>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</si>
  <si>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</si>
  <si>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</si>
  <si>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</si>
  <si>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</si>
  <si>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</si>
  <si>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</si>
  <si>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</si>
  <si>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</si>
  <si>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</si>
  <si>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</si>
  <si>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</si>
  <si>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</si>
  <si>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</si>
  <si>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</si>
  <si>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</si>
  <si>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</si>
  <si>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</si>
  <si>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</si>
  <si>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</si>
  <si>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</si>
  <si>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</si>
  <si>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</si>
  <si>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</si>
  <si>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</si>
  <si>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</si>
  <si>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</si>
  <si>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36 tonn, men det legges til grunn at hele avsetningen tas</t>
  </si>
  <si>
    <t>4 Registrert rekreasjonsfiske utgjør 179 tonn, men det legges til grunn at hele avsetningen tas</t>
  </si>
  <si>
    <t>3 Registrert rekreasjonsfiske utgjør 625 tonn, men det legges til grunn at hele avsetningen tas</t>
  </si>
  <si>
    <t>FANGST UKE 21</t>
  </si>
  <si>
    <t>FANGST T.O.M UKE 21</t>
  </si>
  <si>
    <t>RESTKVOTER UKE 21</t>
  </si>
  <si>
    <t>FANGST T.O.M UKE 21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</si>
  <si>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395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</si>
</sst>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46" zoomScale="115" zoomScaleNormal="115" zoomScaleSheetLayoutView="100" zoomScalePageLayoutView="85" workbookViewId="0">
      <selection activeCell="H146" sqref="H14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322.61700000000002</v>
      </c>
      <c r="G22" s="27">
        <f t="shared" si="0"/>
        <v>13639.31064</v>
      </c>
      <c r="H22" s="10">
        <f>H24+H23</f>
        <v>19792.689359999997</v>
      </c>
      <c r="I22" s="10">
        <f t="shared" si="0"/>
        <v>18570.777389999999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322.617</f>
        <v>322.61700000000002</v>
      </c>
      <c r="G23" s="22">
        <f>13272.22314</f>
        <v>13272.22314</v>
      </c>
      <c r="H23" s="22">
        <f>E23-G23</f>
        <v>19416.776859999998</v>
      </c>
      <c r="I23" s="22">
        <f>18273.80139</f>
        <v>18273.801390000001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367.0875</f>
        <v>367.08749999999998</v>
      </c>
      <c r="H24" s="22">
        <f>E24-G24</f>
        <v>375.91250000000002</v>
      </c>
      <c r="I24" s="22">
        <f>296.976</f>
        <v>296.976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624.89455999999996</v>
      </c>
      <c r="G25" s="10">
        <f t="shared" si="1"/>
        <v>77733.5388199999</v>
      </c>
      <c r="H25" s="10">
        <f>H33+H32+H26</f>
        <v>20308.4611800001</v>
      </c>
      <c r="I25" s="10">
        <f t="shared" si="1"/>
        <v>93989.685830000002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374.55403999999999</v>
      </c>
      <c r="G26" s="129">
        <f>G27+G28+G29+G30+G31</f>
        <v>63868.91332</v>
      </c>
      <c r="H26" s="129">
        <f>H27+H28+H29+H30+H31</f>
        <v>13989.08668</v>
      </c>
      <c r="I26" s="129">
        <f t="shared" ref="I26" si="2">I27+I28+I29+I30+I31</f>
        <v>76841.449070000002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117.89655 - F53</f>
        <v>117.89655</v>
      </c>
      <c r="G27" s="123">
        <f>18926.62848 - G53</f>
        <v>18926.628479999999</v>
      </c>
      <c r="H27" s="123">
        <f t="shared" ref="H27:H41" si="3">E27-G27</f>
        <v>1941.3715200000006</v>
      </c>
      <c r="I27" s="123">
        <f>21858.39638 - I53</f>
        <v>21858.396379999998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64.91827 - F54</f>
        <v>64.918270000000007</v>
      </c>
      <c r="G28" s="123">
        <f>18230.00172 - G54</f>
        <v>18230.00172</v>
      </c>
      <c r="H28" s="123">
        <f t="shared" si="3"/>
        <v>1489.9982799999998</v>
      </c>
      <c r="I28" s="123">
        <f>21427.75369 - I54</f>
        <v>21427.753690000001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77.74484 - F55</f>
        <v>77.744839999999996</v>
      </c>
      <c r="G29" s="123">
        <f>15179.25123 - G55</f>
        <v>15179.25123</v>
      </c>
      <c r="H29" s="123">
        <f t="shared" si="3"/>
        <v>2445.7487700000001</v>
      </c>
      <c r="I29" s="123">
        <f>19928.59841 - I55</f>
        <v>19928.598409999999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113.99438 - F56</f>
        <v>113.99438000000001</v>
      </c>
      <c r="G30" s="123">
        <f>11533.03189 - G56</f>
        <v>11533.03189</v>
      </c>
      <c r="H30" s="123">
        <f t="shared" si="3"/>
        <v>1420.9681099999998</v>
      </c>
      <c r="I30" s="123">
        <f>13626.70059 - I56</f>
        <v>13626.70059</v>
      </c>
      <c r="J30" s="63"/>
    </row>
    <row r="31" spans="1:10" ht="14.15" customHeight="1" x14ac:dyDescent="0.3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149.05616</f>
        <v>149.05616000000001</v>
      </c>
      <c r="G32" s="129">
        <f>4525.15965</f>
        <v>4525.1596499999996</v>
      </c>
      <c r="H32" s="129">
        <f t="shared" si="3"/>
        <v>6381.8403500000004</v>
      </c>
      <c r="I32" s="129">
        <f>6719.42732</f>
        <v>6719.4273199999998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101.28435999999999</v>
      </c>
      <c r="G33" s="129">
        <f>G34+G35</f>
        <v>9339.4658499999005</v>
      </c>
      <c r="H33" s="129">
        <f t="shared" si="3"/>
        <v>-62.465849999900456</v>
      </c>
      <c r="I33" s="129">
        <f>I34+I35</f>
        <v>10428.809440000001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176.28436 - F57 - F58</f>
        <v>101.28435999999999</v>
      </c>
      <c r="G34" s="129">
        <f>11769.4658499999 - G57 - G58</f>
        <v>9339.4658499999005</v>
      </c>
      <c r="H34" s="123">
        <f t="shared" si="3"/>
        <v>-927.46584999990046</v>
      </c>
      <c r="I34" s="123">
        <f>12112.80944 - I57 - I58</f>
        <v>10428.809440000001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476.8124</f>
        <v>476.81240000000003</v>
      </c>
      <c r="H36" s="136">
        <f t="shared" si="3"/>
        <v>23.187599999999975</v>
      </c>
      <c r="I36" s="136">
        <f>270.3376</f>
        <v>270.33760000000001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4.1445</f>
        <v>4.1444999999999999</v>
      </c>
      <c r="G37" s="95">
        <f>529.8976</f>
        <v>529.89760000000001</v>
      </c>
      <c r="H37" s="95">
        <f t="shared" si="3"/>
        <v>350.10239999999999</v>
      </c>
      <c r="I37" s="95">
        <f>541.51117</f>
        <v>541.51116999999999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75</v>
      </c>
      <c r="G38" s="95">
        <f>G58</f>
        <v>2430</v>
      </c>
      <c r="H38" s="95">
        <f t="shared" si="3"/>
        <v>570</v>
      </c>
      <c r="I38" s="95">
        <f>I58</f>
        <v>1684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7.77137</f>
        <v>7.7713700000000001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2.559</f>
        <v>2.5590000000000002</v>
      </c>
      <c r="G40" s="95">
        <f>388.12019</f>
        <v>388.12018999999998</v>
      </c>
      <c r="H40" s="95">
        <f t="shared" si="3"/>
        <v>61.87981000000002</v>
      </c>
      <c r="I40" s="95">
        <f>358.9216</f>
        <v>358.92160000000001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41.38355</f>
        <v>41.38355</v>
      </c>
      <c r="H41" s="136">
        <f t="shared" si="3"/>
        <v>-41.38355</v>
      </c>
      <c r="I41" s="136">
        <f>59.41368</f>
        <v>59.413679999999999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1036.9864299999997</v>
      </c>
      <c r="G42" s="73">
        <f t="shared" si="4"/>
        <v>102239.06319999989</v>
      </c>
      <c r="H42" s="73">
        <f>H22+H25+H36+H37+H38+H39+H40+H41</f>
        <v>41064.936800000098</v>
      </c>
      <c r="I42" s="73">
        <f t="shared" si="4"/>
        <v>122474.64727</v>
      </c>
      <c r="J42" s="271"/>
    </row>
    <row r="43" spans="1:10" ht="14.15" customHeight="1" x14ac:dyDescent="0.3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75</v>
      </c>
      <c r="G58" s="136">
        <v>2430</v>
      </c>
      <c r="H58" s="136">
        <f>E58-G58</f>
        <v>570</v>
      </c>
      <c r="I58" s="136">
        <v>1684</v>
      </c>
      <c r="J58" s="117"/>
    </row>
    <row r="59" spans="1:10" ht="14.15" customHeight="1" x14ac:dyDescent="0.3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609.68460000000005</v>
      </c>
      <c r="G79" s="10">
        <f t="shared" si="5"/>
        <v>21401.076430000001</v>
      </c>
      <c r="H79" s="10">
        <f>H81+H80</f>
        <v>8497.923569999999</v>
      </c>
      <c r="I79" s="10">
        <f t="shared" si="5"/>
        <v>18800.51815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29143</v>
      </c>
      <c r="F80" s="22">
        <f>609.6846</f>
        <v>609.68460000000005</v>
      </c>
      <c r="G80" s="22">
        <f>20897.7821</f>
        <v>20897.7821</v>
      </c>
      <c r="H80" s="22">
        <f>E80-G80</f>
        <v>8245.2178999999996</v>
      </c>
      <c r="I80" s="22">
        <f>18390.41475</f>
        <v>18390.41475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503.29433</f>
        <v>503.29433</v>
      </c>
      <c r="H81" s="48">
        <f>E81-G81</f>
        <v>252.70567</v>
      </c>
      <c r="I81" s="48">
        <f>410.1034</f>
        <v>410.10340000000002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1022.22299</v>
      </c>
      <c r="G82" s="10">
        <f t="shared" si="6"/>
        <v>19139.408189999969</v>
      </c>
      <c r="H82" s="10">
        <f>H83+H88+H89</f>
        <v>32532.591810000027</v>
      </c>
      <c r="I82" s="10">
        <f t="shared" si="6"/>
        <v>21158.732509999973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809.55498999999998</v>
      </c>
      <c r="G83" s="129">
        <f t="shared" si="7"/>
        <v>14640.667429999969</v>
      </c>
      <c r="H83" s="129">
        <f>H84+H85+H86+H87</f>
        <v>23375.332570000028</v>
      </c>
      <c r="I83" s="129">
        <f t="shared" si="7"/>
        <v>17058.220799999952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10530</v>
      </c>
      <c r="F84" s="123">
        <f>82.15639</f>
        <v>82.156390000000002</v>
      </c>
      <c r="G84" s="123">
        <f>2489.25307999998</f>
        <v>2489.2530799999799</v>
      </c>
      <c r="H84" s="123">
        <f t="shared" ref="H84:H93" si="8">E84-G84</f>
        <v>8040.7469200000196</v>
      </c>
      <c r="I84" s="123">
        <f>2575.60760999997</f>
        <v>2575.60760999997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10962</v>
      </c>
      <c r="F85" s="123">
        <f>309.21423</f>
        <v>309.21422999999999</v>
      </c>
      <c r="G85" s="123">
        <f>5263.78039999999</f>
        <v>5263.7803999999896</v>
      </c>
      <c r="H85" s="123">
        <f t="shared" si="8"/>
        <v>5698.2196000000104</v>
      </c>
      <c r="I85" s="123">
        <f>4499.52136999998</f>
        <v>4499.5213699999804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9908</v>
      </c>
      <c r="F86" s="123">
        <f>138.82927</f>
        <v>138.82927000000001</v>
      </c>
      <c r="G86" s="123">
        <f>4182.70328</f>
        <v>4182.7032799999997</v>
      </c>
      <c r="H86" s="123">
        <f t="shared" si="8"/>
        <v>5725.2967200000003</v>
      </c>
      <c r="I86" s="123">
        <f>5733.11183</f>
        <v>5733.1118299999998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6616</v>
      </c>
      <c r="F87" s="123">
        <f>279.3551</f>
        <v>279.35509999999999</v>
      </c>
      <c r="G87" s="123">
        <f>2704.93067</f>
        <v>2704.9306700000002</v>
      </c>
      <c r="H87" s="123">
        <f t="shared" si="8"/>
        <v>3911.0693299999998</v>
      </c>
      <c r="I87" s="123">
        <f>4249.97999</f>
        <v>4249.9799899999998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9513</v>
      </c>
      <c r="F88" s="129">
        <f>179.52557</f>
        <v>179.52556999999999</v>
      </c>
      <c r="G88" s="129">
        <f>3245.48714</f>
        <v>3245.4871400000002</v>
      </c>
      <c r="H88" s="129">
        <f t="shared" si="8"/>
        <v>6267.5128599999998</v>
      </c>
      <c r="I88" s="129">
        <f>3041.07284</f>
        <v>3041.0728399999998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4143</v>
      </c>
      <c r="F89" s="72">
        <f>33.14243</f>
        <v>33.142429999999997</v>
      </c>
      <c r="G89" s="72">
        <f>1253.25362</f>
        <v>1253.25362</v>
      </c>
      <c r="H89" s="72">
        <f t="shared" si="8"/>
        <v>2889.74638</v>
      </c>
      <c r="I89" s="72">
        <f>1059.43887000002</f>
        <v>1059.43887000002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27.15663</f>
        <v>27.15663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0.15053</f>
        <v>0.15053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0.03708</f>
        <v>3.7080000000000002E-2</v>
      </c>
      <c r="G92" s="95">
        <f>3.50632</f>
        <v>3.5063200000000001</v>
      </c>
      <c r="H92" s="136">
        <f t="shared" si="8"/>
        <v>46.493679999999998</v>
      </c>
      <c r="I92" s="95">
        <f>11.87496</f>
        <v>11.87496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0.0427</f>
        <v>4.2700000000000002E-2</v>
      </c>
      <c r="G93" s="136">
        <f>8.6542</f>
        <v>8.6541999999999994</v>
      </c>
      <c r="H93" s="136">
        <f t="shared" si="8"/>
        <v>-8.6541999999999994</v>
      </c>
      <c r="I93" s="136">
        <f>5.3629</f>
        <v>5.3628999999999998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1632.1378999999999</v>
      </c>
      <c r="G94" s="73">
        <f t="shared" si="10"/>
        <v>40864.265009999974</v>
      </c>
      <c r="H94" s="73">
        <f>H79+H82+H90+H91+H92+H93</f>
        <v>41375.734990000026</v>
      </c>
      <c r="I94" s="73">
        <f t="shared" si="10"/>
        <v>40303.645149999975</v>
      </c>
      <c r="J94" s="271"/>
    </row>
    <row r="95" spans="1:10" ht="13.5" customHeight="1" x14ac:dyDescent="0.3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204.72614999999999</v>
      </c>
      <c r="G115" s="10">
        <f t="shared" si="11"/>
        <v>17632.71803</v>
      </c>
      <c r="H115" s="10">
        <f t="shared" si="11"/>
        <v>36613.281970000004</v>
      </c>
      <c r="I115" s="10">
        <f t="shared" si="11"/>
        <v>28784.40799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204.72615</f>
        <v>204.72614999999999</v>
      </c>
      <c r="G116" s="22">
        <f>15301.24728</f>
        <v>15301.24728</v>
      </c>
      <c r="H116" s="22">
        <f>E116-G116</f>
        <v>28095.75272</v>
      </c>
      <c r="I116" s="22">
        <f>25619.02919</f>
        <v>25619.029190000001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2258.53025</f>
        <v>2258.5302499999998</v>
      </c>
      <c r="H117" s="22">
        <f>E117-G117</f>
        <v>8090.4697500000002</v>
      </c>
      <c r="I117" s="22">
        <f>3100.0212</f>
        <v>3100.0212000000001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1161.78555</f>
        <v>1161.7855500000001</v>
      </c>
      <c r="G119" s="92">
        <f>4892.51335+372.8265+21.8318</f>
        <v>5287.1716500000002</v>
      </c>
      <c r="H119" s="92">
        <f>E119-G119</f>
        <v>31365.82835</v>
      </c>
      <c r="I119" s="92">
        <f>8968.8458</f>
        <v>8968.8457999999991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391.18622000000005</v>
      </c>
      <c r="G120" s="91">
        <f t="shared" ref="G120" si="12">G121+G126+G129</f>
        <v>20287.953750000008</v>
      </c>
      <c r="H120" s="91">
        <f>H121+H126+H129</f>
        <v>36822.046249999992</v>
      </c>
      <c r="I120" s="91">
        <f>I121+I126+I129</f>
        <v>34049.434369999981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242.49718000000001</v>
      </c>
      <c r="G121" s="121">
        <f>G122+G123+G125+G124</f>
        <v>15404.107510000009</v>
      </c>
      <c r="H121" s="121">
        <f>H122+H123+H124+H125</f>
        <v>27777.892489999991</v>
      </c>
      <c r="I121" s="121">
        <f>I122+I123+I124+I125</f>
        <v>25418.354589999988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90.25543</f>
        <v>90.255430000000004</v>
      </c>
      <c r="G122" s="123">
        <f>4259.37782</f>
        <v>4259.3778199999997</v>
      </c>
      <c r="H122" s="123">
        <f>E122-G122</f>
        <v>7216.6221800000003</v>
      </c>
      <c r="I122" s="123">
        <f>5656.55417</f>
        <v>5656.5541700000003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21.55625</f>
        <v>21.556249999999999</v>
      </c>
      <c r="G123" s="123">
        <f>4698.90467000001</f>
        <v>4698.9046700000099</v>
      </c>
      <c r="H123" s="123">
        <f>E123-G123</f>
        <v>7136.0953299999901</v>
      </c>
      <c r="I123" s="123">
        <f>7586.03263999999</f>
        <v>7586.0326399999904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64.4729</f>
        <v>64.472899999999996</v>
      </c>
      <c r="G124" s="123">
        <f>3400.55992-21.8318</f>
        <v>3378.7281200000002</v>
      </c>
      <c r="H124" s="123">
        <f>E124-G124</f>
        <v>7094.2718800000002</v>
      </c>
      <c r="I124" s="123">
        <f>5835.19973</f>
        <v>5835.1997300000003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66.2126</f>
        <v>66.212599999999995</v>
      </c>
      <c r="G125" s="123">
        <f>3439.9234-372.8265</f>
        <v>3067.0969</v>
      </c>
      <c r="H125" s="123">
        <f>E125-G125</f>
        <v>6330.9030999999995</v>
      </c>
      <c r="I125" s="123">
        <f>6340.56805</f>
        <v>6340.5680499999999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14.84235</v>
      </c>
      <c r="G126" s="129">
        <f>SUM(G127:G128)</f>
        <v>1865.1902399999999</v>
      </c>
      <c r="H126" s="129">
        <f>H127+H128</f>
        <v>4262.8097600000001</v>
      </c>
      <c r="I126" s="129">
        <f>SUM(I127:I128)</f>
        <v>5759.8097299999999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14.84235</f>
        <v>14.84235</v>
      </c>
      <c r="G127" s="123">
        <f>1696.50977</f>
        <v>1696.5097699999999</v>
      </c>
      <c r="H127" s="123">
        <f t="shared" ref="H127:H135" si="13">E127-G127</f>
        <v>3931.4902300000003</v>
      </c>
      <c r="I127" s="123">
        <f>5637.19086</f>
        <v>5637.1908599999997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0</f>
        <v>0</v>
      </c>
      <c r="G128" s="123">
        <f>168.68047</f>
        <v>168.68047000000001</v>
      </c>
      <c r="H128" s="123">
        <f t="shared" si="13"/>
        <v>331.31952999999999</v>
      </c>
      <c r="I128" s="123">
        <f>122.61887</f>
        <v>122.61887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133.84669</f>
        <v>133.84669</v>
      </c>
      <c r="G129" s="72">
        <f>3018.656</f>
        <v>3018.6559999999999</v>
      </c>
      <c r="H129" s="72">
        <f t="shared" si="13"/>
        <v>4781.3440000000001</v>
      </c>
      <c r="I129" s="72">
        <f>2871.27004999999</f>
        <v>2871.2700499999901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13.01788</f>
        <v>13.01788</v>
      </c>
      <c r="H130" s="136">
        <f t="shared" si="13"/>
        <v>142.98212000000001</v>
      </c>
      <c r="I130" s="136">
        <f>15.5424</f>
        <v>15.542400000000001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12.58</f>
        <v>12.58</v>
      </c>
      <c r="H131" s="95">
        <f t="shared" si="13"/>
        <v>337.42</v>
      </c>
      <c r="I131" s="95">
        <f>292.56</f>
        <v>292.56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15.58551</f>
        <v>15.585509999999999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0.04</f>
        <v>0.04</v>
      </c>
      <c r="G134" s="95">
        <f>4.77608</f>
        <v>4.7760800000000003</v>
      </c>
      <c r="H134" s="136">
        <f t="shared" si="13"/>
        <v>250.22391999999999</v>
      </c>
      <c r="I134" s="95">
        <f>81.79275</f>
        <v>81.792749999999998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74.77426</f>
        <v>74.774259999999998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1773.3234299999999</v>
      </c>
      <c r="G137" s="73">
        <f>G115+G119+G120+G130+G131+G132+G133+G134+G135</f>
        <v>45302.637140000013</v>
      </c>
      <c r="H137" s="73">
        <f>H115+H119+H120+H130+H131+H132+H133+H134+H135</f>
        <v>105467.36285999999</v>
      </c>
      <c r="I137" s="73">
        <f>I115+I119+I120+I130+I131+I132+I133+I134+I135</f>
        <v>74267.357569999993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37.81684</f>
        <v>37.816839999999999</v>
      </c>
      <c r="F160" s="301">
        <f>592.664519999999</f>
        <v>592.66451999999902</v>
      </c>
      <c r="G160" s="42">
        <f>D160-F160-F161</f>
        <v>2466.1100100000012</v>
      </c>
      <c r="H160" s="301">
        <f>400.28991</f>
        <v>400.28991000000002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48.23186</f>
        <v>48.231859999999998</v>
      </c>
      <c r="F161" s="148">
        <f>695.22547</f>
        <v>695.22546999999997</v>
      </c>
      <c r="G161" s="219"/>
      <c r="H161" s="148">
        <f>665.02085</f>
        <v>665.02085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0.2409</f>
        <v>0.2409</v>
      </c>
      <c r="F162" s="166">
        <f>50.39565</f>
        <v>50.395650000000003</v>
      </c>
      <c r="G162" s="166">
        <f>D162-F162</f>
        <v>149.60435000000001</v>
      </c>
      <c r="H162" s="166">
        <f>51.71089</f>
        <v>51.710889999999999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10.701000000000001</v>
      </c>
      <c r="F163" s="175">
        <f>F164+F165+F166</f>
        <v>155.47086000000002</v>
      </c>
      <c r="G163" s="175">
        <f>D163-F163</f>
        <v>5474.5291399999996</v>
      </c>
      <c r="H163" s="175">
        <f>H164+H165+H166</f>
        <v>153.88337999999999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5.88724</f>
        <v>5.8872400000000003</v>
      </c>
      <c r="F164" s="123">
        <f>57.70374</f>
        <v>57.703740000000003</v>
      </c>
      <c r="G164" s="123"/>
      <c r="H164" s="123">
        <f>45.4438</f>
        <v>45.443800000000003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2.61048</f>
        <v>2.6104799999999999</v>
      </c>
      <c r="F165" s="123">
        <f>60.65938</f>
        <v>60.659379999999999</v>
      </c>
      <c r="G165" s="123"/>
      <c r="H165" s="123">
        <f>59.64216</f>
        <v>59.642159999999997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2.20328</f>
        <v>2.2032799999999999</v>
      </c>
      <c r="F166" s="186">
        <f>37.10774</f>
        <v>37.10774</v>
      </c>
      <c r="G166" s="186"/>
      <c r="H166" s="186">
        <f>48.79742</f>
        <v>48.797420000000002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2.9699</f>
        <v>2.9699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99.960499999999996</v>
      </c>
      <c r="F169" s="188">
        <f>F160+F161+F162+F163+F167+F168</f>
        <v>1502.4583599999989</v>
      </c>
      <c r="G169" s="188">
        <f>D169-F169</f>
        <v>8172.5416400000013</v>
      </c>
      <c r="H169" s="188">
        <f>H160+H161+H162+H163+H167+H168</f>
        <v>1276.2581300000002</v>
      </c>
      <c r="I169" s="159"/>
      <c r="J169" s="155"/>
    </row>
    <row r="170" spans="1:10" ht="42" customHeight="1" x14ac:dyDescent="0.3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2197.96826</f>
        <v>2197.9682600000001</v>
      </c>
      <c r="G189" s="124">
        <f>17595.48755</f>
        <v>17595.487550000002</v>
      </c>
      <c r="H189" s="124">
        <f>E189-G189</f>
        <v>25144.512449999998</v>
      </c>
      <c r="I189" s="124">
        <f>20405.26054</f>
        <v>20405.260539999999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0.3535</f>
        <v>0.35349999999999998</v>
      </c>
      <c r="G190" s="124">
        <f>12.78806</f>
        <v>12.78806</v>
      </c>
      <c r="H190" s="124">
        <f>E190-G190</f>
        <v>87.211939999999998</v>
      </c>
      <c r="I190" s="124">
        <f>14.90131</f>
        <v>14.90131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2198.3217600000003</v>
      </c>
      <c r="G192" s="190">
        <f>SUM(G189:G191)</f>
        <v>17608.275610000001</v>
      </c>
      <c r="H192" s="190">
        <f>E192-G192</f>
        <v>25277.724389999999</v>
      </c>
      <c r="I192" s="190">
        <f>SUM(I189:I191)</f>
        <v>20420.16185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124.66271999999999</v>
      </c>
      <c r="F202" s="72">
        <f>F203+F204</f>
        <v>2447.9849599999989</v>
      </c>
      <c r="G202" s="72">
        <f>D202-F202</f>
        <v>754.01504000000114</v>
      </c>
      <c r="H202" s="72">
        <f>H203+H204</f>
        <v>2384.54871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123.54302</f>
        <v>123.54302</v>
      </c>
      <c r="F203" s="72">
        <f>1920.62762</f>
        <v>1920.62762</v>
      </c>
      <c r="G203" s="72"/>
      <c r="H203" s="72">
        <f>1876.66134</f>
        <v>1876.6613400000001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1.1197</f>
        <v>1.1196999999999999</v>
      </c>
      <c r="F204" s="124">
        <f>527.357339999999</f>
        <v>527.357339999999</v>
      </c>
      <c r="G204" s="168"/>
      <c r="H204" s="124">
        <f>507.88737</f>
        <v>507.88736999999998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94.19276</f>
        <v>94.192760000000007</v>
      </c>
      <c r="F205" s="72">
        <f>2377.19624</f>
        <v>2377.1962400000002</v>
      </c>
      <c r="G205" s="72">
        <f>D205-F205</f>
        <v>1326.8037599999998</v>
      </c>
      <c r="H205" s="72">
        <f>3415.42269</f>
        <v>3415.4226899999999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218.85548</v>
      </c>
      <c r="F206" s="190">
        <f>SUM(F202,F205)</f>
        <v>4825.1811999999991</v>
      </c>
      <c r="G206" s="190">
        <f>D206-F206</f>
        <v>2080.8188000000009</v>
      </c>
      <c r="H206" s="190">
        <f>SUM(H202,H205)</f>
        <v>5799.9714000000004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264.99786</v>
      </c>
      <c r="F215" s="72">
        <f>F216+F217</f>
        <v>3606.4155499999988</v>
      </c>
      <c r="G215" s="72">
        <f>D215-F215</f>
        <v>1909.5844500000012</v>
      </c>
      <c r="H215" s="72">
        <f>H216+H217</f>
        <v>2310.1510499999999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263.6168</f>
        <v>263.61680000000001</v>
      </c>
      <c r="F216" s="72">
        <f>3274.16392</f>
        <v>3274.16392</v>
      </c>
      <c r="G216" s="72"/>
      <c r="H216" s="72">
        <f>2035.28924</f>
        <v>2035.2892400000001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1.38106</f>
        <v>1.38106</v>
      </c>
      <c r="F217" s="124">
        <f>332.251629999999</f>
        <v>332.25162999999901</v>
      </c>
      <c r="G217" s="168"/>
      <c r="H217" s="124">
        <f>274.86181</f>
        <v>274.86180999999999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76.6204200000001</f>
        <v>76.620420000000095</v>
      </c>
      <c r="F218" s="72">
        <f>1885.67445</f>
        <v>1885.67445</v>
      </c>
      <c r="G218" s="72">
        <f>D218-F218</f>
        <v>1346.32555</v>
      </c>
      <c r="H218" s="72">
        <f>1411.02225000001</f>
        <v>1411.02225000001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341.61828000000008</v>
      </c>
      <c r="F219" s="190">
        <f>SUM(F215,F218)</f>
        <v>5492.0899999999983</v>
      </c>
      <c r="G219" s="190">
        <f>D219-F219</f>
        <v>3255.9100000000017</v>
      </c>
      <c r="H219" s="190">
        <f>SUM(H215,H218)</f>
        <v>3721.1733000000099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3.74296</f>
        <v>3.7429600000000001</v>
      </c>
      <c r="F237" s="124">
        <f>77.7657900000001</f>
        <v>77.765790000000095</v>
      </c>
      <c r="G237" s="124">
        <f>D237-F237</f>
        <v>722.23420999999985</v>
      </c>
      <c r="H237" s="124">
        <f>200.3737</f>
        <v>200.37370000000001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10.64422</f>
        <v>10.644220000000001</v>
      </c>
      <c r="F238" s="124">
        <f>213.709179999999</f>
        <v>213.70917999999901</v>
      </c>
      <c r="G238" s="124">
        <f>D238-F238</f>
        <v>492.29082000000096</v>
      </c>
      <c r="H238" s="124">
        <f>341.560769999999</f>
        <v>341.56076999999902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0.12496</f>
        <v>0.12496</v>
      </c>
      <c r="G240" s="124">
        <f>D240-F240</f>
        <v>-0.12496</v>
      </c>
      <c r="H240" s="168">
        <f>0.6194</f>
        <v>0.61939999999999995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14.387180000000001</v>
      </c>
      <c r="F241" s="190">
        <f>SUM(F237:F240)</f>
        <v>291.64492999999908</v>
      </c>
      <c r="G241" s="190">
        <f>D241-F241</f>
        <v>1224.355070000001</v>
      </c>
      <c r="H241" s="190">
        <f>H237+H238+H239+H240</f>
        <v>542.60800999999901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19.2682</v>
      </c>
      <c r="G262" s="280">
        <f t="shared" si="15"/>
        <v>1490.0468300000002</v>
      </c>
      <c r="H262" s="280">
        <f>H266+H265+H264+H263</f>
        <v>17349.953170000001</v>
      </c>
      <c r="I262" s="280">
        <f t="shared" si="15"/>
        <v>3711.3027399999996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258.76306</f>
        <v>258.76306</v>
      </c>
      <c r="H263" s="284">
        <f t="shared" ref="H263:H268" si="16">E263-G263</f>
        <v>9916.2369400000007</v>
      </c>
      <c r="I263" s="284">
        <f>1322.87063</f>
        <v>1322.8706299999999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399.5217</f>
        <v>399.52170000000001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7.4218</f>
        <v>7.4218000000000002</v>
      </c>
      <c r="G265" s="284">
        <f>714.40921</f>
        <v>714.40921000000003</v>
      </c>
      <c r="H265" s="284">
        <f t="shared" si="16"/>
        <v>692.59078999999997</v>
      </c>
      <c r="I265" s="284">
        <f>901.01042</f>
        <v>901.01041999999995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11.8464</f>
        <v>11.846399999999999</v>
      </c>
      <c r="G266" s="284">
        <f>481.23456</f>
        <v>481.23455999999999</v>
      </c>
      <c r="H266" s="284">
        <f t="shared" si="16"/>
        <v>4127.7654400000001</v>
      </c>
      <c r="I266" s="284">
        <f>1087.89999</f>
        <v>1087.8999899999999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182.9</f>
        <v>182.9</v>
      </c>
      <c r="G267" s="294">
        <f>1068.814</f>
        <v>1068.8140000000001</v>
      </c>
      <c r="H267" s="294">
        <f t="shared" si="16"/>
        <v>4431.1859999999997</v>
      </c>
      <c r="I267" s="294">
        <f>2462.63644</f>
        <v>2462.6364400000002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15.495149999999999</v>
      </c>
      <c r="G268" s="295">
        <f>G270+G269</f>
        <v>966.30369000000098</v>
      </c>
      <c r="H268" s="295">
        <f t="shared" si="16"/>
        <v>7033.6963099999994</v>
      </c>
      <c r="I268" s="295">
        <f>I270+I269</f>
        <v>1194.848490000001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1.86962</f>
        <v>1.8696200000000001</v>
      </c>
      <c r="G269" s="284">
        <f>331.80881</f>
        <v>331.80880999999999</v>
      </c>
      <c r="H269" s="284"/>
      <c r="I269" s="284">
        <f>447.82058</f>
        <v>447.82058000000001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13.62553</f>
        <v>13.625529999999999</v>
      </c>
      <c r="G270" s="303">
        <f>634.494880000001</f>
        <v>634.49488000000099</v>
      </c>
      <c r="H270" s="303"/>
      <c r="I270" s="303">
        <f>747.027910000001</f>
        <v>747.02791000000104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</f>
        <v>0</v>
      </c>
      <c r="H271" s="294">
        <f>E271-G271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2.3772</f>
        <v>2.3772000000000002</v>
      </c>
      <c r="G272" s="294">
        <f>7.99298</f>
        <v>7.9929800000000002</v>
      </c>
      <c r="H272" s="294">
        <f>E272-G272</f>
        <v>-7.9929800000000002</v>
      </c>
      <c r="I272" s="294">
        <f>4.4504</f>
        <v>4.4504000000000001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220.04055</v>
      </c>
      <c r="G273" s="312">
        <f t="shared" si="17"/>
        <v>3533.1575000000016</v>
      </c>
      <c r="H273" s="312">
        <f>H262+H267+H268+H271+H272</f>
        <v>28819.842500000002</v>
      </c>
      <c r="I273" s="312">
        <f t="shared" si="17"/>
        <v>7373.2515700000004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2363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928.56393000000003</v>
      </c>
      <c r="G294" s="82">
        <f>D294-F294</f>
        <v>-149.56393000000003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687.65275</f>
        <v>687.65274999999997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646.33609999999999</v>
      </c>
      <c r="G297" s="82">
        <f>D297-F297</f>
        <v>132.66390000000001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507.208</f>
        <v>507.20800000000003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805</v>
      </c>
      <c r="E300" s="34">
        <f>SUM(E301:E302)</f>
        <v>43.330300000000001</v>
      </c>
      <c r="F300" s="34">
        <f>SUM(F301:F302)</f>
        <v>484.84949</v>
      </c>
      <c r="G300" s="82">
        <f>D300-F300</f>
        <v>320.15051</v>
      </c>
      <c r="H300" s="34">
        <f>SUM(H301:H302)</f>
        <v>616.09276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36.1715</f>
        <v>36.171500000000002</v>
      </c>
      <c r="F301" s="29">
        <f>349.56354</f>
        <v>349.56353999999999</v>
      </c>
      <c r="G301" s="94"/>
      <c r="H301" s="29">
        <f>414.08654</f>
        <v>414.08654000000001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7.1588</f>
        <v>7.1588000000000003</v>
      </c>
      <c r="F302" s="29">
        <f>135.28595</f>
        <v>135.28595000000001</v>
      </c>
      <c r="G302" s="105"/>
      <c r="H302" s="29">
        <f>202.00622</f>
        <v>202.00622000000001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2363</v>
      </c>
      <c r="E304" s="39">
        <f>E294+E297+E300+E303</f>
        <v>43.330300000000001</v>
      </c>
      <c r="F304" s="39">
        <f>F294+F297+F300+F303</f>
        <v>2059.7495199999998</v>
      </c>
      <c r="G304" s="40">
        <f>D304-F304</f>
        <v>303.25048000000015</v>
      </c>
      <c r="H304" s="39">
        <f>H294+H297+H300+H303</f>
        <v>2630.6098899999997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132</v>
      </c>
      <c r="D322" s="237">
        <v>238</v>
      </c>
      <c r="E322" s="29">
        <f>17.07979</f>
        <v>17.079789999999999</v>
      </c>
      <c r="F322" s="29">
        <f>187.7934</f>
        <v>187.79339999999999</v>
      </c>
      <c r="G322" s="238">
        <f>D322-F322</f>
        <v>50.206600000000009</v>
      </c>
      <c r="H322" s="29">
        <f>80.3708399999998</f>
        <v>80.370839999999802</v>
      </c>
      <c r="I322" s="242"/>
      <c r="J322" s="127"/>
    </row>
    <row r="323" spans="1:10" ht="17.5" customHeight="1" x14ac:dyDescent="0.35">
      <c r="A323" s="223"/>
      <c r="B323" s="69"/>
      <c r="C323" s="239" t="s">
        <v>133</v>
      </c>
      <c r="D323" s="240">
        <v>21237</v>
      </c>
      <c r="E323" s="29">
        <f>9.25386</f>
        <v>9.2538599999999995</v>
      </c>
      <c r="F323" s="29">
        <f>292.661230000001</f>
        <v>292.66123000000101</v>
      </c>
      <c r="G323" s="241">
        <f>D323-F323</f>
        <v>20944.338769999998</v>
      </c>
      <c r="H323" s="29">
        <f>296.598050000001</f>
        <v>296.59805000000102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26.333649999999999</v>
      </c>
      <c r="F324" s="39">
        <f>F323+F322</f>
        <v>480.45463000000098</v>
      </c>
      <c r="G324" s="39">
        <f>G323+G322</f>
        <v>20994.54537</v>
      </c>
      <c r="H324" s="39">
        <f>H323+H322</f>
        <v>376.96889000000084</v>
      </c>
      <c r="I324" s="26"/>
      <c r="J324" s="127"/>
    </row>
    <row r="325" spans="1:10" ht="22.5" customHeight="1" x14ac:dyDescent="0.3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3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21&amp;R25.05.2026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2026-05-26T09:25:35Z</dcterms:modified>
</cp:coreProperties>
</file>