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610BE358-EC73-4013-B034-9114C4690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421" i="1"/>
  <c r="H419" i="1"/>
  <c r="F419" i="1"/>
  <c r="E419" i="1"/>
  <c r="H418" i="1"/>
  <c r="H417" i="1" s="1"/>
  <c r="F418" i="1"/>
  <c r="F417" i="1" s="1"/>
  <c r="G417" i="1" s="1"/>
  <c r="E418" i="1"/>
  <c r="E417" i="1" s="1"/>
  <c r="H416" i="1"/>
  <c r="F416" i="1"/>
  <c r="E416" i="1"/>
  <c r="E414" i="1" s="1"/>
  <c r="H415" i="1"/>
  <c r="F415" i="1"/>
  <c r="F414" i="1" s="1"/>
  <c r="G414" i="1" s="1"/>
  <c r="E415" i="1"/>
  <c r="H414" i="1"/>
  <c r="H413" i="1"/>
  <c r="F413" i="1"/>
  <c r="E413" i="1"/>
  <c r="E411" i="1" s="1"/>
  <c r="H412" i="1"/>
  <c r="F412" i="1"/>
  <c r="F411" i="1" s="1"/>
  <c r="E412" i="1"/>
  <c r="H411" i="1"/>
  <c r="H421" i="1" s="1"/>
  <c r="D389" i="1"/>
  <c r="I388" i="1"/>
  <c r="G388" i="1"/>
  <c r="H388" i="1" s="1"/>
  <c r="F388" i="1"/>
  <c r="I387" i="1"/>
  <c r="H387" i="1"/>
  <c r="G387" i="1"/>
  <c r="F387" i="1"/>
  <c r="I386" i="1"/>
  <c r="G386" i="1"/>
  <c r="F386" i="1"/>
  <c r="F384" i="1" s="1"/>
  <c r="I385" i="1"/>
  <c r="G385" i="1"/>
  <c r="G384" i="1" s="1"/>
  <c r="H384" i="1" s="1"/>
  <c r="F385" i="1"/>
  <c r="I384" i="1"/>
  <c r="I383" i="1"/>
  <c r="G383" i="1"/>
  <c r="H383" i="1" s="1"/>
  <c r="F383" i="1"/>
  <c r="I382" i="1"/>
  <c r="H382" i="1"/>
  <c r="G382" i="1"/>
  <c r="F382" i="1"/>
  <c r="I381" i="1"/>
  <c r="I378" i="1" s="1"/>
  <c r="I389" i="1" s="1"/>
  <c r="G381" i="1"/>
  <c r="G378" i="1" s="1"/>
  <c r="G389" i="1" s="1"/>
  <c r="F381" i="1"/>
  <c r="F378" i="1" s="1"/>
  <c r="I380" i="1"/>
  <c r="H380" i="1"/>
  <c r="G380" i="1"/>
  <c r="F380" i="1"/>
  <c r="I379" i="1"/>
  <c r="G379" i="1"/>
  <c r="H379" i="1" s="1"/>
  <c r="F379" i="1"/>
  <c r="E378" i="1"/>
  <c r="E389" i="1" s="1"/>
  <c r="D378" i="1"/>
  <c r="H370" i="1"/>
  <c r="F370" i="1"/>
  <c r="D352" i="1"/>
  <c r="H351" i="1"/>
  <c r="F351" i="1"/>
  <c r="E351" i="1"/>
  <c r="H350" i="1"/>
  <c r="G350" i="1"/>
  <c r="F350" i="1"/>
  <c r="E350" i="1"/>
  <c r="H349" i="1"/>
  <c r="F349" i="1"/>
  <c r="G349" i="1" s="1"/>
  <c r="E349" i="1"/>
  <c r="H348" i="1"/>
  <c r="H352" i="1" s="1"/>
  <c r="G348" i="1"/>
  <c r="F348" i="1"/>
  <c r="F352" i="1" s="1"/>
  <c r="E348" i="1"/>
  <c r="E352" i="1" s="1"/>
  <c r="D341" i="1"/>
  <c r="F297" i="1"/>
  <c r="G297" i="1" s="1"/>
  <c r="E297" i="1"/>
  <c r="H296" i="1"/>
  <c r="F296" i="1"/>
  <c r="E296" i="1"/>
  <c r="H295" i="1"/>
  <c r="F295" i="1"/>
  <c r="E295" i="1"/>
  <c r="H294" i="1"/>
  <c r="H297" i="1" s="1"/>
  <c r="F294" i="1"/>
  <c r="E294" i="1"/>
  <c r="H251" i="1"/>
  <c r="F251" i="1"/>
  <c r="F252" i="1" s="1"/>
  <c r="G252" i="1" s="1"/>
  <c r="E251" i="1"/>
  <c r="H250" i="1"/>
  <c r="F250" i="1"/>
  <c r="E250" i="1"/>
  <c r="H249" i="1"/>
  <c r="H252" i="1" s="1"/>
  <c r="F249" i="1"/>
  <c r="E249" i="1"/>
  <c r="E252" i="1" s="1"/>
  <c r="H207" i="1"/>
  <c r="D207" i="1"/>
  <c r="G206" i="1"/>
  <c r="H205" i="1"/>
  <c r="F205" i="1"/>
  <c r="F207" i="1" s="1"/>
  <c r="G207" i="1" s="1"/>
  <c r="E205" i="1"/>
  <c r="H204" i="1"/>
  <c r="G204" i="1"/>
  <c r="F204" i="1"/>
  <c r="E204" i="1"/>
  <c r="E207" i="1" s="1"/>
  <c r="D184" i="1"/>
  <c r="H182" i="1"/>
  <c r="F182" i="1"/>
  <c r="G182" i="1" s="1"/>
  <c r="E182" i="1"/>
  <c r="H181" i="1"/>
  <c r="F181" i="1"/>
  <c r="F178" i="1" s="1"/>
  <c r="E181" i="1"/>
  <c r="H180" i="1"/>
  <c r="F180" i="1"/>
  <c r="E180" i="1"/>
  <c r="H179" i="1"/>
  <c r="F179" i="1"/>
  <c r="E179" i="1"/>
  <c r="E178" i="1" s="1"/>
  <c r="E184" i="1" s="1"/>
  <c r="H178" i="1"/>
  <c r="H177" i="1"/>
  <c r="G177" i="1"/>
  <c r="F177" i="1"/>
  <c r="E177" i="1"/>
  <c r="H176" i="1"/>
  <c r="F176" i="1"/>
  <c r="E176" i="1"/>
  <c r="H175" i="1"/>
  <c r="H184" i="1" s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F140" i="1"/>
  <c r="F139" i="1" s="1"/>
  <c r="I139" i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G134" i="1"/>
  <c r="F134" i="1"/>
  <c r="E134" i="1"/>
  <c r="I132" i="1"/>
  <c r="H132" i="1"/>
  <c r="F132" i="1"/>
  <c r="H131" i="1"/>
  <c r="I130" i="1"/>
  <c r="G130" i="1"/>
  <c r="H130" i="1" s="1"/>
  <c r="F130" i="1"/>
  <c r="I129" i="1"/>
  <c r="I128" i="1" s="1"/>
  <c r="H129" i="1"/>
  <c r="G129" i="1"/>
  <c r="F129" i="1"/>
  <c r="G128" i="1"/>
  <c r="F128" i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D107" i="1" s="1"/>
  <c r="I94" i="1"/>
  <c r="I92" i="1" s="1"/>
  <c r="G94" i="1"/>
  <c r="H94" i="1" s="1"/>
  <c r="F94" i="1"/>
  <c r="F92" i="1" s="1"/>
  <c r="I93" i="1"/>
  <c r="G93" i="1"/>
  <c r="H93" i="1" s="1"/>
  <c r="F93" i="1"/>
  <c r="G92" i="1"/>
  <c r="G107" i="1" s="1"/>
  <c r="E92" i="1"/>
  <c r="C89" i="1"/>
  <c r="H85" i="1"/>
  <c r="F85" i="1"/>
  <c r="D85" i="1"/>
  <c r="G61" i="1"/>
  <c r="G60" i="1"/>
  <c r="I32" i="1"/>
  <c r="F55" i="1"/>
  <c r="G32" i="1" s="1"/>
  <c r="H32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F34" i="1" s="1"/>
  <c r="I35" i="1"/>
  <c r="G35" i="1"/>
  <c r="G34" i="1" s="1"/>
  <c r="H34" i="1" s="1"/>
  <c r="F35" i="1"/>
  <c r="I34" i="1"/>
  <c r="I33" i="1"/>
  <c r="H33" i="1"/>
  <c r="G33" i="1"/>
  <c r="F33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F28" i="1"/>
  <c r="I25" i="1"/>
  <c r="H25" i="1"/>
  <c r="G25" i="1"/>
  <c r="F25" i="1"/>
  <c r="I24" i="1"/>
  <c r="I23" i="1" s="1"/>
  <c r="G24" i="1"/>
  <c r="G23" i="1" s="1"/>
  <c r="F24" i="1"/>
  <c r="F23" i="1" s="1"/>
  <c r="H16" i="1"/>
  <c r="F16" i="1"/>
  <c r="D16" i="1"/>
  <c r="E133" i="1" l="1"/>
  <c r="H139" i="1"/>
  <c r="H134" i="1"/>
  <c r="F27" i="1"/>
  <c r="F26" i="1" s="1"/>
  <c r="F44" i="1"/>
  <c r="G27" i="1"/>
  <c r="G26" i="1" s="1"/>
  <c r="G44" i="1" s="1"/>
  <c r="G55" i="1"/>
  <c r="H35" i="1"/>
  <c r="H128" i="1"/>
  <c r="F184" i="1"/>
  <c r="G184" i="1" s="1"/>
  <c r="G178" i="1"/>
  <c r="I150" i="1"/>
  <c r="F107" i="1"/>
  <c r="F133" i="1"/>
  <c r="F150" i="1" s="1"/>
  <c r="H133" i="1"/>
  <c r="G411" i="1"/>
  <c r="G421" i="1" s="1"/>
  <c r="F421" i="1"/>
  <c r="F389" i="1"/>
  <c r="H92" i="1"/>
  <c r="E150" i="1"/>
  <c r="G133" i="1"/>
  <c r="G150" i="1" s="1"/>
  <c r="G352" i="1"/>
  <c r="I27" i="1"/>
  <c r="I26" i="1" s="1"/>
  <c r="I44" i="1" s="1"/>
  <c r="I107" i="1"/>
  <c r="E421" i="1"/>
  <c r="G139" i="1"/>
  <c r="G205" i="1"/>
  <c r="H24" i="1"/>
  <c r="H23" i="1" s="1"/>
  <c r="H28" i="1"/>
  <c r="H27" i="1" s="1"/>
  <c r="H26" i="1" s="1"/>
  <c r="H97" i="1"/>
  <c r="H96" i="1" s="1"/>
  <c r="H95" i="1" s="1"/>
  <c r="H381" i="1"/>
  <c r="H378" i="1" s="1"/>
  <c r="H389" i="1" s="1"/>
  <c r="H150" i="1" l="1"/>
  <c r="H107" i="1"/>
  <c r="H44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<sst xmlns="http://schemas.openxmlformats.org/spreadsheetml/2006/main" count="358" uniqueCount="150">
  <si>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</si>
  <si>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</si>
  <si>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</si>
  <si>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</si>
  <si>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</si>
  <si>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</si>
  <si>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</si>
  <si>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</si>
  <si>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</si>
  <si>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</si>
  <si>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</si>
  <si>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</si>
  <si>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</si>
  <si>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</si>
  <si>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</si>
  <si>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</si>
  <si>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</si>
  <si>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</si>
  <si>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</si>
  <si>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</si>
  <si>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</si>
  <si>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</si>
  <si>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</si>
  <si>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</si>
  <si>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</si>
  <si>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</si>
  <si>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</si>
  <si>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</si>
  <si>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</si>
  <si>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</si>
  <si>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</si>
  <si>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</si>
  <si>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</si>
  <si>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</si>
  <si>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</si>
  <si>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</si>
  <si>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</si>
  <si>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</si>
  <si>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</si>
  <si>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</si>
  <si>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</si>
  <si>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</si>
  <si>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</si>
  <si>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</si>
  <si>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</si>
  <si>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</si>
  <si>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</si>
  <si>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</si>
  <si>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</si>
  <si>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</si>
  <si>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</si>
  <si>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</si>
  <si>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</si>
  <si>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</si>
  <si>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</si>
  <si>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</si>
  <si>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</si>
  <si>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</si>
  <si>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</si>
  <si>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</si>
  <si>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</si>
  <si>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</si>
  <si>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</si>
  <si>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</si>
  <si>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</si>
  <si>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</si>
  <si>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</si>
  <si>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</si>
  <si>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</si>
  <si>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</si>
  <si>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</si>
  <si>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</si>
  <si>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</si>
  <si>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</si>
  <si>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</si>
  <si>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</si>
  <si>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</si>
  <si>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</si>
  <si>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</si>
  <si>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</si>
  <si>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</si>
  <si>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</si>
  <si>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</si>
  <si>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</si>
  <si>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</si>
  <si>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</si>
  <si>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</si>
  <si>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</si>
  <si>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</si>
  <si>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</si>
  <si>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</si>
  <si>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</si>
  <si>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</si>
  <si>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</si>
  <si>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</si>
  <si>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</si>
  <si>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</si>
  <si>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</si>
  <si>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</si>
  <si>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</si>
  <si>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</si>
  <si>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</si>
  <si>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</si>
  <si>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</si>
  <si>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</si>
  <si>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</si>
  <si>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</si>
  <si>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</si>
  <si>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</si>
  <si>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</si>
  <si>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</si>
  <si>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</si>
  <si>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</si>
  <si>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</si>
  <si>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</si>
  <si>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</si>
  <si>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</si>
  <si>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</si>
  <si>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</si>
  <si>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</si>
  <si>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</si>
  <si>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</si>
  <si>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</si>
  <si>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</si>
  <si>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</si>
  <si>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</si>
  <si>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</si>
  <si>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</si>
  <si>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</si>
  <si>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</si>
  <si>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</si>
  <si>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</si>
  <si>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</si>
  <si>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</si>
  <si>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</si>
  <si>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</si>
  <si>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</si>
  <si>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</si>
  <si>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</si>
  <si>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</si>
  <si>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</si>
  <si>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</si>
  <si>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UKE 31</t>
  </si>
  <si>
    <t>FANGST T.O.M UKE 31</t>
  </si>
  <si>
    <t>RESTKVOTER UKE 31</t>
  </si>
  <si>
    <t>FANGST T.O.M UKE 31 2022</t>
  </si>
  <si>
    <r>
      <t xml:space="preserve">3 </t>
    </r>
    <r>
      <rPr>
        <sz val="9"/>
        <color indexed="8"/>
        <rFont val="Calibri"/>
        <family val="2"/>
      </rPr>
      <t>Registrert rekreasjonsfiske utgjør 648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</si>
  <si>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</si>
  <si>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537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</si>
  <si>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4 506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</si>
</sst>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608"/>
  <sheetViews>
    <sheetView showGridLines="0" tabSelected="1" showRuler="0" view="pageLayout" zoomScale="85" zoomScaleNormal="85" zoomScaleSheetLayoutView="100" zoomScalePageLayoutView="85" workbookViewId="0">
      <selection activeCell="E7" sqref="E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386.88150000000002</v>
      </c>
      <c r="G23" s="28">
        <f t="shared" si="0"/>
        <v>52282.923510000001</v>
      </c>
      <c r="H23" s="11">
        <f t="shared" si="0"/>
        <v>34544.076489999999</v>
      </c>
      <c r="I23" s="11">
        <f t="shared" si="0"/>
        <v>64937.424979999996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386.8815</f>
        <v>386.88150000000002</v>
      </c>
      <c r="G24" s="23">
        <f>51944.36727</f>
        <v>51944.367270000002</v>
      </c>
      <c r="H24" s="23">
        <f>E24-G24</f>
        <v>34100.632729999998</v>
      </c>
      <c r="I24" s="23">
        <f>64592.09301</f>
        <v>64592.093009999997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338.55624</f>
        <v>338.55624</v>
      </c>
      <c r="H25" s="23">
        <f>E25-G25</f>
        <v>443.44376</v>
      </c>
      <c r="I25" s="23">
        <f>345.33197</f>
        <v>345.33197000000001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1331.6552299999998</v>
      </c>
      <c r="G26" s="11">
        <f t="shared" si="1"/>
        <v>171479.80757</v>
      </c>
      <c r="H26" s="11">
        <f t="shared" si="1"/>
        <v>26090.192430000003</v>
      </c>
      <c r="I26" s="11">
        <f t="shared" si="1"/>
        <v>207552.34190000003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1140.2984799999999</v>
      </c>
      <c r="G27" s="134">
        <f t="shared" ref="G27:I27" si="2">G28+G29+G30+G31+G32</f>
        <v>135662.39344000001</v>
      </c>
      <c r="H27" s="134">
        <f t="shared" si="2"/>
        <v>16988.60656</v>
      </c>
      <c r="I27" s="134">
        <f t="shared" si="2"/>
        <v>169492.07939000003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116.47492</f>
        <v>116.47492</v>
      </c>
      <c r="G28" s="129">
        <f>36623.42722 - F57</f>
        <v>35865.427219999998</v>
      </c>
      <c r="H28" s="129">
        <f t="shared" ref="H28:H40" si="3">E28-G28</f>
        <v>3683.5727800000022</v>
      </c>
      <c r="I28" s="129">
        <f>42617.80209 - H57</f>
        <v>42617.802089999997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194.18911</f>
        <v>194.18911</v>
      </c>
      <c r="G29" s="129">
        <f>37953.48601 - F58</f>
        <v>36254.486010000001</v>
      </c>
      <c r="H29" s="129">
        <f t="shared" si="3"/>
        <v>4509.5139899999995</v>
      </c>
      <c r="I29" s="129">
        <f>46366.1859 - H58</f>
        <v>46366.185899999997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210.83175</f>
        <v>210.83175</v>
      </c>
      <c r="G30" s="129">
        <f>36433.77279 - F59</f>
        <v>35680.772790000003</v>
      </c>
      <c r="H30" s="129">
        <f t="shared" si="3"/>
        <v>1586.2272099999973</v>
      </c>
      <c r="I30" s="129">
        <f>46855.9342 - H59</f>
        <v>46855.934200000003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64.8027</f>
        <v>64.802700000000002</v>
      </c>
      <c r="G31" s="129">
        <f>24573.70742 - F60</f>
        <v>24265.707419999999</v>
      </c>
      <c r="H31" s="129">
        <f t="shared" si="3"/>
        <v>1141.2925800000012</v>
      </c>
      <c r="I31" s="129">
        <f>33652.1572 - H60</f>
        <v>33652.157200000001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554</v>
      </c>
      <c r="G32" s="129">
        <f>F55</f>
        <v>3596</v>
      </c>
      <c r="H32" s="129">
        <f t="shared" si="3"/>
        <v>6068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34.21134</f>
        <v>34.21134</v>
      </c>
      <c r="G33" s="134">
        <f>15181.1566</f>
        <v>15181.1566</v>
      </c>
      <c r="H33" s="134">
        <f t="shared" si="3"/>
        <v>8404.8433999999997</v>
      </c>
      <c r="I33" s="134">
        <f>18073.10964</f>
        <v>18073.109639999999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157.14541</v>
      </c>
      <c r="G34" s="134">
        <f>G35+G36</f>
        <v>20636.257529999999</v>
      </c>
      <c r="H34" s="134">
        <f t="shared" si="3"/>
        <v>696.74247000000105</v>
      </c>
      <c r="I34" s="134">
        <f>I35+I36</f>
        <v>19987.152870000002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117.14541</f>
        <v>117.14541</v>
      </c>
      <c r="G35" s="134">
        <f>24609.25753 - F61 - F62</f>
        <v>20328.257529999999</v>
      </c>
      <c r="H35" s="129">
        <f t="shared" si="3"/>
        <v>-195.25752999999895</v>
      </c>
      <c r="I35" s="129">
        <f>21612.15287 - H61 - H62</f>
        <v>19987.152870000002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40</v>
      </c>
      <c r="G36" s="73">
        <f>F60</f>
        <v>308</v>
      </c>
      <c r="H36" s="73">
        <f t="shared" si="3"/>
        <v>892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473.3241</f>
        <v>473.32409999999999</v>
      </c>
      <c r="H37" s="141">
        <f t="shared" si="3"/>
        <v>2526.6759000000002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486.66974</f>
        <v>486.66973999999999</v>
      </c>
      <c r="H38" s="100">
        <f t="shared" si="3"/>
        <v>364.33026000000001</v>
      </c>
      <c r="I38" s="100">
        <f>458.36041</f>
        <v>458.36041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47</v>
      </c>
      <c r="G39" s="100">
        <f>F61</f>
        <v>4281</v>
      </c>
      <c r="H39" s="100">
        <f t="shared" si="3"/>
        <v>-1233</v>
      </c>
      <c r="I39" s="100">
        <f>H61</f>
        <v>1625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13.09611</f>
        <v>13.096109999999999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1778.6358399999997</v>
      </c>
      <c r="G44" s="78">
        <f t="shared" si="4"/>
        <v>236083.28592000002</v>
      </c>
      <c r="H44" s="78">
        <f t="shared" si="4"/>
        <v>62612.714079999976</v>
      </c>
      <c r="I44" s="78">
        <f t="shared" si="4"/>
        <v>282027.86867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554</v>
      </c>
      <c r="F55" s="11">
        <f>F59+F58+F57+F56</f>
        <v>3596</v>
      </c>
      <c r="G55" s="299">
        <f>D55-F55</f>
        <v>6244</v>
      </c>
      <c r="H55" s="11"/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74</v>
      </c>
      <c r="F56" s="129">
        <v>386</v>
      </c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136</v>
      </c>
      <c r="F57" s="129">
        <v>758</v>
      </c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262</v>
      </c>
      <c r="F58" s="129">
        <v>1699</v>
      </c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82</v>
      </c>
      <c r="F59" s="194">
        <v>753</v>
      </c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40</v>
      </c>
      <c r="F60" s="97">
        <v>308</v>
      </c>
      <c r="G60" s="97">
        <f>D60-F60</f>
        <v>892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47</v>
      </c>
      <c r="F61" s="141">
        <v>4281</v>
      </c>
      <c r="G61" s="141">
        <f>D61-F61</f>
        <v>-1281</v>
      </c>
      <c r="H61" s="141">
        <v>1625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14.5649</v>
      </c>
      <c r="G92" s="11">
        <f t="shared" si="5"/>
        <v>39086.258989999995</v>
      </c>
      <c r="H92" s="11">
        <f t="shared" si="5"/>
        <v>-4287.2589899999984</v>
      </c>
      <c r="I92" s="11">
        <f t="shared" si="5"/>
        <v>35541.121789999997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14.5649</f>
        <v>14.5649</v>
      </c>
      <c r="G93" s="23">
        <f>38587.56905</f>
        <v>38587.569049999998</v>
      </c>
      <c r="H93" s="23">
        <f>E93-G93</f>
        <v>-4600.5690499999982</v>
      </c>
      <c r="I93" s="23">
        <f>34890.67612</f>
        <v>34890.676119999996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498.68994</f>
        <v>498.68993999999998</v>
      </c>
      <c r="H94" s="52">
        <f>E94-G94</f>
        <v>313.31006000000002</v>
      </c>
      <c r="I94" s="52">
        <f>650.44567</f>
        <v>650.44566999999995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387.96288000000004</v>
      </c>
      <c r="G95" s="11">
        <f t="shared" si="6"/>
        <v>25162.687660000003</v>
      </c>
      <c r="H95" s="11">
        <f t="shared" si="6"/>
        <v>34337.312340000004</v>
      </c>
      <c r="I95" s="11">
        <f t="shared" si="6"/>
        <v>30073.761989999999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367.11139000000003</v>
      </c>
      <c r="G96" s="134">
        <f t="shared" si="7"/>
        <v>18394.252070000002</v>
      </c>
      <c r="H96" s="134">
        <f t="shared" si="7"/>
        <v>26096.747930000001</v>
      </c>
      <c r="I96" s="134">
        <f t="shared" si="7"/>
        <v>23737.547579999999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61.04476</f>
        <v>61.044759999999997</v>
      </c>
      <c r="G97" s="129">
        <f>2595.69799</f>
        <v>2595.6979900000001</v>
      </c>
      <c r="H97" s="129">
        <f t="shared" ref="H97:H104" si="8">E97-G97</f>
        <v>9288.0020100000002</v>
      </c>
      <c r="I97" s="129">
        <f>2694.46116</f>
        <v>2694.4611599999998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97.32144</f>
        <v>97.321439999999996</v>
      </c>
      <c r="G98" s="129">
        <f>5679.40112</f>
        <v>5679.4011200000004</v>
      </c>
      <c r="H98" s="129">
        <f t="shared" si="8"/>
        <v>6985.6988799999999</v>
      </c>
      <c r="I98" s="129">
        <f>8147.51013</f>
        <v>8147.5101299999997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177.90829</f>
        <v>177.90828999999999</v>
      </c>
      <c r="G99" s="129">
        <f>5440.39737</f>
        <v>5440.3973699999997</v>
      </c>
      <c r="H99" s="129">
        <f t="shared" si="8"/>
        <v>6525.2026300000007</v>
      </c>
      <c r="I99" s="129">
        <f>6625.092</f>
        <v>6625.0919999999996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30.8369</f>
        <v>30.8369</v>
      </c>
      <c r="G100" s="129">
        <f>4678.75559</f>
        <v>4678.7555899999998</v>
      </c>
      <c r="H100" s="129">
        <f t="shared" si="8"/>
        <v>3297.8444100000006</v>
      </c>
      <c r="I100" s="129">
        <f>6270.48429</f>
        <v>6270.4842900000003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0.60152</f>
        <v>0.60152000000000005</v>
      </c>
      <c r="G101" s="134">
        <f>5446.31536</f>
        <v>5446.3153599999996</v>
      </c>
      <c r="H101" s="134">
        <f t="shared" si="8"/>
        <v>4944.6846400000004</v>
      </c>
      <c r="I101" s="134">
        <f>5245.75144</f>
        <v>5245.75144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20.24997</f>
        <v>20.249970000000001</v>
      </c>
      <c r="G102" s="77">
        <f>1322.12023</f>
        <v>1322.12023</v>
      </c>
      <c r="H102" s="77">
        <f t="shared" si="8"/>
        <v>3295.87977</v>
      </c>
      <c r="I102" s="77">
        <f>1090.46297</f>
        <v>1090.46297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0.74539</f>
        <v>0.74539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403.27317000000005</v>
      </c>
      <c r="G107" s="78">
        <f t="shared" si="9"/>
        <v>64568.963119999986</v>
      </c>
      <c r="H107" s="78">
        <f t="shared" si="9"/>
        <v>30400.036880000018</v>
      </c>
      <c r="I107" s="78">
        <f t="shared" si="9"/>
        <v>65980.613389999999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:I128" si="10">E129+E130+E131</f>
        <v>70707</v>
      </c>
      <c r="F128" s="11">
        <f t="shared" si="10"/>
        <v>353.25047000000001</v>
      </c>
      <c r="G128" s="11">
        <f t="shared" si="10"/>
        <v>41877.783189999995</v>
      </c>
      <c r="H128" s="11">
        <f t="shared" si="10"/>
        <v>28829.216810000002</v>
      </c>
      <c r="I128" s="11">
        <f t="shared" si="10"/>
        <v>40634.249989999997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353.25047</f>
        <v>353.25047000000001</v>
      </c>
      <c r="G129" s="23">
        <f>37286.25401</f>
        <v>37286.254009999997</v>
      </c>
      <c r="H129" s="23">
        <f>E129-G129</f>
        <v>18938.745990000003</v>
      </c>
      <c r="I129" s="23">
        <f>34596.81828</f>
        <v>34596.81828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4591.52918</f>
        <v>4591.5291800000005</v>
      </c>
      <c r="H130" s="23">
        <f>E130-G130</f>
        <v>9390.4708199999986</v>
      </c>
      <c r="I130" s="23">
        <f>6037.43171</f>
        <v>6037.4317099999998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356.2176</f>
        <v>356.2176</v>
      </c>
      <c r="G132" s="97">
        <f>31912.42709+4505.50282</f>
        <v>36417.929909999999</v>
      </c>
      <c r="H132" s="97">
        <f>E132-G132</f>
        <v>12867.070090000001</v>
      </c>
      <c r="I132" s="97">
        <f>33470.58948</f>
        <v>33470.589480000002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1333.9855300000002</v>
      </c>
      <c r="G133" s="96">
        <f t="shared" ref="G133" si="11">G134+G139+G142</f>
        <v>49667.144280000008</v>
      </c>
      <c r="H133" s="96">
        <f>H134+H139+H142</f>
        <v>31444.85572</v>
      </c>
      <c r="I133" s="96">
        <f>I134+I139+I142</f>
        <v>48924.610260000001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1136.99476</v>
      </c>
      <c r="G134" s="127">
        <f>G135+G136+G138+G137</f>
        <v>38539.603600000002</v>
      </c>
      <c r="H134" s="127">
        <f>H135+H136+H137+H138</f>
        <v>21093.396400000001</v>
      </c>
      <c r="I134" s="127">
        <f>I135+I136+I137+I138</f>
        <v>38431.338009999999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178.68353</f>
        <v>178.68352999999999</v>
      </c>
      <c r="G135" s="129">
        <v>6566.6214399999999</v>
      </c>
      <c r="H135" s="129">
        <f>E135-G135</f>
        <v>10971.378560000001</v>
      </c>
      <c r="I135" s="129">
        <f>5653.18899</f>
        <v>5653.1889899999996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314.45666</f>
        <v>314.45666</v>
      </c>
      <c r="G136" s="129">
        <v>11103.472600000001</v>
      </c>
      <c r="H136" s="129">
        <f>E136-G136</f>
        <v>4014.527399999999</v>
      </c>
      <c r="I136" s="129">
        <f>9007.52652</f>
        <v>9007.5265199999994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456.87529</f>
        <v>456.87529000000001</v>
      </c>
      <c r="G137" s="129">
        <v>11276.177159999999</v>
      </c>
      <c r="H137" s="129">
        <f>E137-G137</f>
        <v>3779.8228400000007</v>
      </c>
      <c r="I137" s="129">
        <f>12198.18678</f>
        <v>12198.18678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186.97928</f>
        <v>186.97927999999999</v>
      </c>
      <c r="G138" s="129">
        <v>9593.3323999999993</v>
      </c>
      <c r="H138" s="129">
        <f>E138-G138</f>
        <v>2327.6676000000007</v>
      </c>
      <c r="I138" s="129">
        <f>11572.43572</f>
        <v>11572.435719999999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4.9342499999999996</v>
      </c>
      <c r="G139" s="134">
        <f>SUM(G140:G141)</f>
        <v>6442.0691299999999</v>
      </c>
      <c r="H139" s="134">
        <f>H140+H141</f>
        <v>3008.9308700000001</v>
      </c>
      <c r="I139" s="134">
        <f>SUM(I140:I141)</f>
        <v>5963.6279100000002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0</f>
        <v>0</v>
      </c>
      <c r="G140" s="129">
        <f>6273.89186</f>
        <v>6273.8918599999997</v>
      </c>
      <c r="H140" s="129">
        <f t="shared" ref="H140:H147" si="12">E140-G140</f>
        <v>2677.1081400000003</v>
      </c>
      <c r="I140" s="129">
        <f>5817.24794</f>
        <v>5817.2479400000002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4.93425</f>
        <v>4.9342499999999996</v>
      </c>
      <c r="G141" s="129">
        <f>168.17727</f>
        <v>168.17726999999999</v>
      </c>
      <c r="H141" s="129">
        <f t="shared" si="12"/>
        <v>331.82272999999998</v>
      </c>
      <c r="I141" s="129">
        <f>146.37997</f>
        <v>146.37996999999999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192.05652</f>
        <v>192.05652000000001</v>
      </c>
      <c r="G142" s="77">
        <f>4685.47155</f>
        <v>4685.4715500000002</v>
      </c>
      <c r="H142" s="77">
        <f t="shared" si="12"/>
        <v>7342.5284499999998</v>
      </c>
      <c r="I142" s="77">
        <f>4529.64434</f>
        <v>4529.6443399999998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2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17.85688</f>
        <v>17.85688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212994</v>
      </c>
      <c r="E150" s="78">
        <f t="shared" si="13"/>
        <v>203686</v>
      </c>
      <c r="F150" s="78">
        <f>F128+F132+F133+F143+F144+F145+F146+F147+F148</f>
        <v>2061.3104800000001</v>
      </c>
      <c r="G150" s="78">
        <f>G128+G132+G133+G143+G144+G145+G146+G147+G148</f>
        <v>130255.79938000001</v>
      </c>
      <c r="H150" s="78">
        <f>H128+H132+H133+H143+H144+H145+H146+H147+H148</f>
        <v>73430.200619999989</v>
      </c>
      <c r="I150" s="78">
        <f>I128+I132+I133+I143+I144+I145+I146+I147+I148</f>
        <v>125357.97625000001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149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148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32.80912</f>
        <v>32.80912</v>
      </c>
      <c r="F175" s="274">
        <f>1222.6487</f>
        <v>1222.6487</v>
      </c>
      <c r="G175" s="45">
        <f>D175-F175-F176</f>
        <v>2320.6984500000003</v>
      </c>
      <c r="H175" s="274">
        <f>960.91576</f>
        <v>960.91575999999998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79.0955</f>
        <v>79.095500000000001</v>
      </c>
      <c r="F176" s="154">
        <f>1444.65285</f>
        <v>1444.6528499999999</v>
      </c>
      <c r="G176" s="215"/>
      <c r="H176" s="154">
        <f>1289.77417</f>
        <v>1289.7741699999999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0.084</f>
        <v>8.4000000000000005E-2</v>
      </c>
      <c r="F177" s="174">
        <f>71.56716</f>
        <v>71.567160000000001</v>
      </c>
      <c r="G177" s="174">
        <f>D177-F177</f>
        <v>128.43284</v>
      </c>
      <c r="H177" s="174">
        <f>49.82228</f>
        <v>49.822279999999999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19.207699999999999</v>
      </c>
      <c r="F178" s="183">
        <f>F179+F180+F181</f>
        <v>4866.5754299999999</v>
      </c>
      <c r="G178" s="183">
        <f>D178-F178</f>
        <v>2614.4245700000001</v>
      </c>
      <c r="H178" s="183">
        <f>H179+H180+H181</f>
        <v>5118.9359899999999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11.06684</f>
        <v>11.066839999999999</v>
      </c>
      <c r="F179" s="129">
        <f>2256.21961</f>
        <v>2256.2196100000001</v>
      </c>
      <c r="G179" s="129"/>
      <c r="H179" s="129">
        <f>2568.3894</f>
        <v>2568.3894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8.14086</f>
        <v>8.14086</v>
      </c>
      <c r="F180" s="129">
        <f>1597.22122</f>
        <v>1597.2212199999999</v>
      </c>
      <c r="G180" s="129"/>
      <c r="H180" s="129">
        <f>1563.82594</f>
        <v>1563.8259399999999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1013.1346</f>
        <v>1013.1346</v>
      </c>
      <c r="G181" s="194"/>
      <c r="H181" s="194">
        <f>986.72065</f>
        <v>986.72064999999998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131.19631999999999</v>
      </c>
      <c r="F184" s="196">
        <f>F175+F176+F177+F178+F182+F183</f>
        <v>7605.4441399999996</v>
      </c>
      <c r="G184" s="196">
        <f>D184-F184</f>
        <v>5129.5558600000004</v>
      </c>
      <c r="H184" s="196">
        <f>H175+H176+H177+H178+H182+H183</f>
        <v>7419.4481999999998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336.69207</f>
        <v>336.69207</v>
      </c>
      <c r="F204" s="124">
        <f>38375.37376</f>
        <v>38375.373760000002</v>
      </c>
      <c r="G204" s="124">
        <f>D204-F204</f>
        <v>5463.6262399999978</v>
      </c>
      <c r="H204" s="124">
        <f>30548.45358</f>
        <v>30548.453580000001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3.8095</f>
        <v>3.8094999999999999</v>
      </c>
      <c r="F205" s="124">
        <f>46.42425</f>
        <v>46.424250000000001</v>
      </c>
      <c r="G205" s="124">
        <f>D205-F205</f>
        <v>53.575749999999999</v>
      </c>
      <c r="H205" s="124">
        <f>26.23575</f>
        <v>26.235749999999999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340.50157000000002</v>
      </c>
      <c r="F207" s="190">
        <f>SUM(F204:F206)</f>
        <v>38421.798009999999</v>
      </c>
      <c r="G207" s="190">
        <f>D207-F207</f>
        <v>5559.2019900000014</v>
      </c>
      <c r="H207" s="190">
        <f>SUM(H204:H206)</f>
        <v>30574.689330000001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140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120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0</f>
        <v>0</v>
      </c>
      <c r="F249" s="77">
        <f>251.4522</f>
        <v>251.4522</v>
      </c>
      <c r="G249" s="77"/>
      <c r="H249" s="77">
        <f>208.6212</f>
        <v>208.62119999999999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67.61908</f>
        <v>67.619079999999997</v>
      </c>
      <c r="F250" s="77">
        <f>4694.81171</f>
        <v>4694.8117099999999</v>
      </c>
      <c r="G250" s="77"/>
      <c r="H250" s="77">
        <f>4139.99837</f>
        <v>4139.9983700000003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3.3321</f>
        <v>3.3321000000000001</v>
      </c>
      <c r="F251" s="124">
        <f>2391.33155</f>
        <v>2391.3315499999999</v>
      </c>
      <c r="G251" s="168"/>
      <c r="H251" s="124">
        <f>1729.27326</f>
        <v>1729.2732599999999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70.951179999999994</v>
      </c>
      <c r="F252" s="190">
        <f>SUM(F249:F251)</f>
        <v>7337.5954599999995</v>
      </c>
      <c r="G252" s="190">
        <f>D252-F252</f>
        <v>3116.4045400000005</v>
      </c>
      <c r="H252" s="190">
        <f>SUM(H249:H251)</f>
        <v>6077.8928299999998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120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141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120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0</f>
        <v>0</v>
      </c>
      <c r="F294" s="77">
        <f>388.5672</f>
        <v>388.56720000000001</v>
      </c>
      <c r="G294" s="77"/>
      <c r="H294" s="77">
        <f>334.5048</f>
        <v>334.50479999999999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50.05448</f>
        <v>50.054479999999998</v>
      </c>
      <c r="F295" s="77">
        <f>2612.60926</f>
        <v>2612.6092600000002</v>
      </c>
      <c r="G295" s="77"/>
      <c r="H295" s="77">
        <f>2046.57468</f>
        <v>2046.5746799999999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20.8779</f>
        <v>20.8779</v>
      </c>
      <c r="F296" s="124">
        <f>3434.21886</f>
        <v>3434.2188599999999</v>
      </c>
      <c r="G296" s="168"/>
      <c r="H296" s="124">
        <f>2206.96371</f>
        <v>2206.96371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70.932379999999995</v>
      </c>
      <c r="F297" s="190">
        <f>SUM(F294:F296)</f>
        <v>6435.3953199999996</v>
      </c>
      <c r="G297" s="190">
        <f>D297-F297</f>
        <v>1640.6046800000004</v>
      </c>
      <c r="H297" s="190">
        <f>SUM(H294:H296)</f>
        <v>4588.0431900000003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120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120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18.97557</f>
        <v>18.975570000000001</v>
      </c>
      <c r="F348" s="124">
        <f>394.76927</f>
        <v>394.76927000000001</v>
      </c>
      <c r="G348" s="124">
        <f>D348-F348</f>
        <v>405.23072999999999</v>
      </c>
      <c r="H348" s="124">
        <f>228.78459</f>
        <v>228.78459000000001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199.8118</f>
        <v>199.81180000000001</v>
      </c>
      <c r="F349" s="124">
        <f>1859.60927</f>
        <v>1859.6092699999999</v>
      </c>
      <c r="G349" s="124">
        <f>D349-F349</f>
        <v>634.39073000000008</v>
      </c>
      <c r="H349" s="124">
        <f>1098.38004</f>
        <v>1098.38004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0.9169</f>
        <v>0.91690000000000005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1.68235</f>
        <v>1.68235</v>
      </c>
      <c r="G351" s="124"/>
      <c r="H351" s="168">
        <f>3.12636</f>
        <v>3.12636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218.78737000000001</v>
      </c>
      <c r="F352" s="190">
        <f>SUM(F348:F351)</f>
        <v>2258.7996299999995</v>
      </c>
      <c r="G352" s="190">
        <f>D352-F352</f>
        <v>1040.2003700000005</v>
      </c>
      <c r="H352" s="190">
        <f>H348+H349+H350+H351</f>
        <v>1331.2078899999999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120</v>
      </c>
    </row>
    <row r="356" spans="1:10" ht="14.1" customHeight="1" x14ac:dyDescent="0.25">
      <c r="A356" s="1" t="s">
        <v>120</v>
      </c>
    </row>
    <row r="357" spans="1:10" ht="14.1" customHeight="1" x14ac:dyDescent="0.25">
      <c r="A357" s="1" t="s">
        <v>120</v>
      </c>
    </row>
    <row r="358" spans="1:10" ht="14.1" customHeight="1" x14ac:dyDescent="0.25">
      <c r="A358" s="1"/>
      <c r="C358" s="152" t="s">
        <v>120</v>
      </c>
    </row>
    <row r="359" spans="1:10" ht="36" customHeight="1" x14ac:dyDescent="0.25">
      <c r="A359" s="1"/>
      <c r="C359" s="152" t="s">
        <v>120</v>
      </c>
    </row>
    <row r="360" spans="1:10" ht="14.1" customHeight="1" x14ac:dyDescent="0.25">
      <c r="A360" s="1"/>
      <c r="C360" s="152" t="s">
        <v>120</v>
      </c>
    </row>
    <row r="361" spans="1:10" ht="14.1" customHeight="1" x14ac:dyDescent="0.25">
      <c r="A361" s="1"/>
      <c r="C361" s="152" t="s">
        <v>120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121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4">D382+D381+D380+D379</f>
        <v>13765</v>
      </c>
      <c r="E378" s="249">
        <f t="shared" si="14"/>
        <v>16102</v>
      </c>
      <c r="F378" s="251">
        <f t="shared" si="14"/>
        <v>851.86732000000006</v>
      </c>
      <c r="G378" s="251">
        <f t="shared" si="14"/>
        <v>8304.0913799999998</v>
      </c>
      <c r="H378" s="251">
        <f>H382+H381+H380+H379</f>
        <v>7797.9086200000002</v>
      </c>
      <c r="I378" s="251">
        <f t="shared" si="14"/>
        <v>3924.0192699999998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653.36558</f>
        <v>653.36558000000002</v>
      </c>
      <c r="G379" s="255">
        <f>3801.81018</f>
        <v>3801.8101799999999</v>
      </c>
      <c r="H379" s="255">
        <f t="shared" ref="H379:H383" si="15">E379-G379</f>
        <v>4375.1898199999996</v>
      </c>
      <c r="I379" s="255">
        <f>1651.11808</f>
        <v>1651.11808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892.13805</f>
        <v>892.13805000000002</v>
      </c>
      <c r="H380" s="255">
        <f t="shared" si="15"/>
        <v>1235.86195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14.39274</f>
        <v>14.39274</v>
      </c>
      <c r="G381" s="255">
        <f>1483.72365</f>
        <v>1483.7236499999999</v>
      </c>
      <c r="H381" s="255">
        <f t="shared" si="15"/>
        <v>-126.72364999999991</v>
      </c>
      <c r="I381" s="255">
        <f>1080.59019</f>
        <v>1080.5901899999999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184.109</f>
        <v>184.10900000000001</v>
      </c>
      <c r="G382" s="255">
        <f>2126.4195</f>
        <v>2126.4195</v>
      </c>
      <c r="H382" s="255">
        <f t="shared" si="15"/>
        <v>2313.5805</v>
      </c>
      <c r="I382" s="255">
        <f>701.8992</f>
        <v>701.89919999999995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</f>
        <v>0</v>
      </c>
      <c r="G383" s="266">
        <f>5096.83428</f>
        <v>5096.83428</v>
      </c>
      <c r="H383" s="266">
        <f t="shared" si="15"/>
        <v>403.16571999999996</v>
      </c>
      <c r="I383" s="266">
        <f>4537.00568</f>
        <v>4537.0056800000002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110.25903</v>
      </c>
      <c r="G384" s="267">
        <f>G386+G385</f>
        <v>2580.0958900000001</v>
      </c>
      <c r="H384" s="267">
        <f>E384-G384</f>
        <v>5419.9041099999995</v>
      </c>
      <c r="I384" s="267">
        <f>I386+I385</f>
        <v>2411.3301700000002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7.9665</f>
        <v>7.9664999999999999</v>
      </c>
      <c r="G385" s="255">
        <f>840.36959</f>
        <v>840.36959000000002</v>
      </c>
      <c r="H385" s="255"/>
      <c r="I385" s="255">
        <f>989.47643</f>
        <v>989.47643000000005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102.29253</f>
        <v>102.29253</v>
      </c>
      <c r="G386" s="276">
        <f>1739.7263</f>
        <v>1739.7263</v>
      </c>
      <c r="H386" s="276"/>
      <c r="I386" s="276">
        <f>1421.85374</f>
        <v>1421.85374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13.09248</f>
        <v>13.09248</v>
      </c>
      <c r="G388" s="266">
        <f>62.56874</f>
        <v>62.568739999999998</v>
      </c>
      <c r="H388" s="266">
        <f>E388-G388</f>
        <v>-62.568739999999998</v>
      </c>
      <c r="I388" s="266">
        <f>195.3444</f>
        <v>195.34440000000001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6">F378+F383+F384+F387+F388</f>
        <v>975.21883000000003</v>
      </c>
      <c r="G389" s="285">
        <f t="shared" si="16"/>
        <v>16043.663790000002</v>
      </c>
      <c r="H389" s="285">
        <f>H378+H383+H384+H387+H388</f>
        <v>13568.336209999998</v>
      </c>
      <c r="I389" s="285">
        <f t="shared" si="16"/>
        <v>11067.858819999999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122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123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120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120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120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85</v>
      </c>
      <c r="D401" s="268">
        <v>3360</v>
      </c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>
        <v>2399</v>
      </c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>
        <v>123</v>
      </c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>
        <v>5882</v>
      </c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 t="s">
        <v>114</v>
      </c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 t="s">
        <v>124</v>
      </c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115</v>
      </c>
      <c r="D410" s="22" t="s">
        <v>116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117</v>
      </c>
      <c r="D411" s="10">
        <v>2241</v>
      </c>
      <c r="E411" s="26">
        <f>E413+E412</f>
        <v>0</v>
      </c>
      <c r="F411" s="26">
        <f>F413+F412</f>
        <v>2196.7471299999997</v>
      </c>
      <c r="G411" s="87">
        <f>D411-F411</f>
        <v>44.252870000000257</v>
      </c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118</v>
      </c>
      <c r="D414" s="10">
        <v>1120</v>
      </c>
      <c r="E414" s="26">
        <f>SUM(E415:E416)</f>
        <v>72.518060000000006</v>
      </c>
      <c r="F414" s="26">
        <f>SUM(F415:F416)</f>
        <v>1242.32764</v>
      </c>
      <c r="G414" s="87">
        <f>D414-F414</f>
        <v>-122.32763999999997</v>
      </c>
      <c r="H414" s="26">
        <f>SUM(H415:H416)</f>
        <v>1389.33637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52.71576</f>
        <v>52.715760000000003</v>
      </c>
      <c r="F415" s="30">
        <f>958.80837</f>
        <v>958.80836999999997</v>
      </c>
      <c r="G415" s="99"/>
      <c r="H415" s="30">
        <f>1092.7874</f>
        <v>1092.7873999999999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19.8023</f>
        <v>19.802299999999999</v>
      </c>
      <c r="F416" s="30">
        <f>283.51927</f>
        <v>283.51927000000001</v>
      </c>
      <c r="G416" s="110"/>
      <c r="H416" s="30">
        <f>296.54897</f>
        <v>296.54897</v>
      </c>
      <c r="I416" s="152"/>
      <c r="J416" s="132"/>
    </row>
    <row r="417" spans="1:10" ht="14.1" customHeight="1" x14ac:dyDescent="0.25">
      <c r="A417" s="216"/>
      <c r="B417" s="74"/>
      <c r="C417" s="263" t="s">
        <v>119</v>
      </c>
      <c r="D417" s="10">
        <v>0</v>
      </c>
      <c r="E417" s="36">
        <f>SUM(E418:E419)</f>
        <v>0</v>
      </c>
      <c r="F417" s="36">
        <f>SUM(F418:F419)</f>
        <v>0</v>
      </c>
      <c r="G417" s="87">
        <f>D417-F417</f>
        <v>0</v>
      </c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>
        <f>D411+D414+D417</f>
        <v>3361</v>
      </c>
      <c r="E421" s="42">
        <f>E411+E414+E417+E420</f>
        <v>72.518060000000006</v>
      </c>
      <c r="F421" s="42">
        <f>F411+F414+F417+F420</f>
        <v>3439.0747699999997</v>
      </c>
      <c r="G421" s="43">
        <f>SUM(G411:G420)</f>
        <v>-78.074769999999717</v>
      </c>
      <c r="H421" s="42">
        <f>H411+H414+H417+H420</f>
        <v>2776.9686999999999</v>
      </c>
      <c r="I421" s="27"/>
      <c r="J421" s="132"/>
    </row>
    <row r="422" spans="1:10" ht="14.1" customHeight="1" x14ac:dyDescent="0.25">
      <c r="A422" s="216"/>
      <c r="B422" s="74"/>
      <c r="C422" s="152"/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/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31&amp;R07.08.2023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2023-08-07T07:49:30Z</dcterms:modified>
</cp:coreProperties>
</file>