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meik\Ukesstatistikk\2023\"/>
    </mc:Choice>
  </mc:AlternateContent>
  <xr:revisionPtr revIDLastSave="0" documentId="13_ncr:1_{5DAF9CC4-313C-4294-BC30-9E2796B1CC7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132" i="1" s="1"/>
  <c r="D421" i="1"/>
  <c r="H419" i="1"/>
  <c r="F419" i="1"/>
  <c r="E419" i="1"/>
  <c r="E417" i="1" s="1"/>
  <c r="H418" i="1"/>
  <c r="H417" i="1" s="1"/>
  <c r="F418" i="1"/>
  <c r="F417" i="1" s="1"/>
  <c r="G417" i="1" s="1"/>
  <c r="E418" i="1"/>
  <c r="H416" i="1"/>
  <c r="F416" i="1"/>
  <c r="F414" i="1" s="1"/>
  <c r="G414" i="1" s="1"/>
  <c r="E416" i="1"/>
  <c r="H415" i="1"/>
  <c r="H414" i="1" s="1"/>
  <c r="H421" i="1" s="1"/>
  <c r="F415" i="1"/>
  <c r="E415" i="1"/>
  <c r="E414" i="1"/>
  <c r="H413" i="1"/>
  <c r="F413" i="1"/>
  <c r="E413" i="1"/>
  <c r="E411" i="1" s="1"/>
  <c r="E421" i="1" s="1"/>
  <c r="H412" i="1"/>
  <c r="F412" i="1"/>
  <c r="E412" i="1"/>
  <c r="H411" i="1"/>
  <c r="G411" i="1"/>
  <c r="F411" i="1"/>
  <c r="E389" i="1"/>
  <c r="D389" i="1"/>
  <c r="I388" i="1"/>
  <c r="G388" i="1"/>
  <c r="H388" i="1" s="1"/>
  <c r="F388" i="1"/>
  <c r="I387" i="1"/>
  <c r="G387" i="1"/>
  <c r="H387" i="1" s="1"/>
  <c r="F387" i="1"/>
  <c r="I386" i="1"/>
  <c r="G386" i="1"/>
  <c r="F386" i="1"/>
  <c r="F384" i="1" s="1"/>
  <c r="I385" i="1"/>
  <c r="G385" i="1"/>
  <c r="F385" i="1"/>
  <c r="I384" i="1"/>
  <c r="H384" i="1"/>
  <c r="G384" i="1"/>
  <c r="I383" i="1"/>
  <c r="H383" i="1"/>
  <c r="G383" i="1"/>
  <c r="F383" i="1"/>
  <c r="I382" i="1"/>
  <c r="I378" i="1" s="1"/>
  <c r="I389" i="1" s="1"/>
  <c r="H382" i="1"/>
  <c r="G382" i="1"/>
  <c r="F382" i="1"/>
  <c r="I381" i="1"/>
  <c r="H381" i="1"/>
  <c r="G381" i="1"/>
  <c r="F381" i="1"/>
  <c r="F378" i="1" s="1"/>
  <c r="F389" i="1" s="1"/>
  <c r="I380" i="1"/>
  <c r="H380" i="1"/>
  <c r="G380" i="1"/>
  <c r="F380" i="1"/>
  <c r="I379" i="1"/>
  <c r="H379" i="1"/>
  <c r="G379" i="1"/>
  <c r="F379" i="1"/>
  <c r="H378" i="1"/>
  <c r="G378" i="1"/>
  <c r="G389" i="1" s="1"/>
  <c r="E378" i="1"/>
  <c r="D378" i="1"/>
  <c r="H370" i="1"/>
  <c r="F370" i="1"/>
  <c r="D352" i="1"/>
  <c r="H351" i="1"/>
  <c r="F351" i="1"/>
  <c r="E351" i="1"/>
  <c r="H350" i="1"/>
  <c r="G350" i="1"/>
  <c r="F350" i="1"/>
  <c r="E350" i="1"/>
  <c r="H349" i="1"/>
  <c r="G349" i="1"/>
  <c r="F349" i="1"/>
  <c r="E349" i="1"/>
  <c r="H348" i="1"/>
  <c r="H352" i="1" s="1"/>
  <c r="G348" i="1"/>
  <c r="F348" i="1"/>
  <c r="F352" i="1" s="1"/>
  <c r="G352" i="1" s="1"/>
  <c r="E348" i="1"/>
  <c r="E352" i="1" s="1"/>
  <c r="D341" i="1"/>
  <c r="H296" i="1"/>
  <c r="F296" i="1"/>
  <c r="E296" i="1"/>
  <c r="H295" i="1"/>
  <c r="F295" i="1"/>
  <c r="E295" i="1"/>
  <c r="H294" i="1"/>
  <c r="H297" i="1" s="1"/>
  <c r="F294" i="1"/>
  <c r="F297" i="1" s="1"/>
  <c r="G297" i="1" s="1"/>
  <c r="E294" i="1"/>
  <c r="E297" i="1" s="1"/>
  <c r="H251" i="1"/>
  <c r="F251" i="1"/>
  <c r="E251" i="1"/>
  <c r="E252" i="1" s="1"/>
  <c r="H250" i="1"/>
  <c r="H252" i="1" s="1"/>
  <c r="F250" i="1"/>
  <c r="E250" i="1"/>
  <c r="H249" i="1"/>
  <c r="F249" i="1"/>
  <c r="F252" i="1" s="1"/>
  <c r="G252" i="1" s="1"/>
  <c r="E249" i="1"/>
  <c r="F207" i="1"/>
  <c r="G207" i="1" s="1"/>
  <c r="D207" i="1"/>
  <c r="G206" i="1"/>
  <c r="H205" i="1"/>
  <c r="F205" i="1"/>
  <c r="G205" i="1" s="1"/>
  <c r="E205" i="1"/>
  <c r="E207" i="1" s="1"/>
  <c r="H204" i="1"/>
  <c r="H207" i="1" s="1"/>
  <c r="G204" i="1"/>
  <c r="F204" i="1"/>
  <c r="E204" i="1"/>
  <c r="D184" i="1"/>
  <c r="G184" i="1" s="1"/>
  <c r="H182" i="1"/>
  <c r="F182" i="1"/>
  <c r="G182" i="1" s="1"/>
  <c r="E182" i="1"/>
  <c r="H181" i="1"/>
  <c r="F181" i="1"/>
  <c r="E181" i="1"/>
  <c r="E178" i="1" s="1"/>
  <c r="H180" i="1"/>
  <c r="H178" i="1" s="1"/>
  <c r="F180" i="1"/>
  <c r="E180" i="1"/>
  <c r="H179" i="1"/>
  <c r="F179" i="1"/>
  <c r="E179" i="1"/>
  <c r="F178" i="1"/>
  <c r="G178" i="1" s="1"/>
  <c r="H177" i="1"/>
  <c r="F177" i="1"/>
  <c r="G177" i="1" s="1"/>
  <c r="E177" i="1"/>
  <c r="H176" i="1"/>
  <c r="F176" i="1"/>
  <c r="F184" i="1" s="1"/>
  <c r="E176" i="1"/>
  <c r="E184" i="1" s="1"/>
  <c r="H175" i="1"/>
  <c r="F175" i="1"/>
  <c r="G175" i="1" s="1"/>
  <c r="E175" i="1"/>
  <c r="D150" i="1"/>
  <c r="H147" i="1"/>
  <c r="H146" i="1"/>
  <c r="H145" i="1"/>
  <c r="F145" i="1"/>
  <c r="I144" i="1"/>
  <c r="G144" i="1"/>
  <c r="H144" i="1" s="1"/>
  <c r="F144" i="1"/>
  <c r="I143" i="1"/>
  <c r="G143" i="1"/>
  <c r="H143" i="1" s="1"/>
  <c r="F143" i="1"/>
  <c r="I142" i="1"/>
  <c r="G142" i="1"/>
  <c r="H142" i="1" s="1"/>
  <c r="F142" i="1"/>
  <c r="I141" i="1"/>
  <c r="G141" i="1"/>
  <c r="H141" i="1" s="1"/>
  <c r="F141" i="1"/>
  <c r="I140" i="1"/>
  <c r="I139" i="1" s="1"/>
  <c r="G140" i="1"/>
  <c r="H140" i="1" s="1"/>
  <c r="F140" i="1"/>
  <c r="G139" i="1"/>
  <c r="F139" i="1"/>
  <c r="E139" i="1"/>
  <c r="I138" i="1"/>
  <c r="H138" i="1"/>
  <c r="F138" i="1"/>
  <c r="I137" i="1"/>
  <c r="H137" i="1"/>
  <c r="F137" i="1"/>
  <c r="I136" i="1"/>
  <c r="H136" i="1"/>
  <c r="F136" i="1"/>
  <c r="I135" i="1"/>
  <c r="I134" i="1" s="1"/>
  <c r="G134" i="1"/>
  <c r="G133" i="1" s="1"/>
  <c r="F135" i="1"/>
  <c r="F134" i="1" s="1"/>
  <c r="F133" i="1" s="1"/>
  <c r="E134" i="1"/>
  <c r="E133" i="1" s="1"/>
  <c r="E150" i="1" s="1"/>
  <c r="I132" i="1"/>
  <c r="F132" i="1"/>
  <c r="H131" i="1"/>
  <c r="I130" i="1"/>
  <c r="G130" i="1"/>
  <c r="H130" i="1" s="1"/>
  <c r="F130" i="1"/>
  <c r="I129" i="1"/>
  <c r="G129" i="1"/>
  <c r="G128" i="1" s="1"/>
  <c r="F129" i="1"/>
  <c r="F128" i="1" s="1"/>
  <c r="F150" i="1" s="1"/>
  <c r="I128" i="1"/>
  <c r="E128" i="1"/>
  <c r="C126" i="1"/>
  <c r="H106" i="1"/>
  <c r="H105" i="1"/>
  <c r="H104" i="1"/>
  <c r="F104" i="1"/>
  <c r="I103" i="1"/>
  <c r="H103" i="1"/>
  <c r="G103" i="1"/>
  <c r="F103" i="1"/>
  <c r="I102" i="1"/>
  <c r="H102" i="1"/>
  <c r="G102" i="1"/>
  <c r="F102" i="1"/>
  <c r="I101" i="1"/>
  <c r="H101" i="1"/>
  <c r="G101" i="1"/>
  <c r="F101" i="1"/>
  <c r="I100" i="1"/>
  <c r="H100" i="1"/>
  <c r="G100" i="1"/>
  <c r="F100" i="1"/>
  <c r="I99" i="1"/>
  <c r="H99" i="1"/>
  <c r="G99" i="1"/>
  <c r="F99" i="1"/>
  <c r="I98" i="1"/>
  <c r="H98" i="1"/>
  <c r="G98" i="1"/>
  <c r="F98" i="1"/>
  <c r="I97" i="1"/>
  <c r="H97" i="1"/>
  <c r="G97" i="1"/>
  <c r="F97" i="1"/>
  <c r="F96" i="1" s="1"/>
  <c r="F95" i="1" s="1"/>
  <c r="I96" i="1"/>
  <c r="I95" i="1" s="1"/>
  <c r="H96" i="1"/>
  <c r="H95" i="1" s="1"/>
  <c r="G96" i="1"/>
  <c r="E96" i="1"/>
  <c r="D96" i="1"/>
  <c r="D95" i="1" s="1"/>
  <c r="D107" i="1" s="1"/>
  <c r="G95" i="1"/>
  <c r="E95" i="1"/>
  <c r="I94" i="1"/>
  <c r="H94" i="1"/>
  <c r="G94" i="1"/>
  <c r="F94" i="1"/>
  <c r="F92" i="1" s="1"/>
  <c r="F107" i="1" s="1"/>
  <c r="I93" i="1"/>
  <c r="I92" i="1" s="1"/>
  <c r="H93" i="1"/>
  <c r="H92" i="1" s="1"/>
  <c r="H107" i="1" s="1"/>
  <c r="G93" i="1"/>
  <c r="G92" i="1" s="1"/>
  <c r="G107" i="1" s="1"/>
  <c r="F93" i="1"/>
  <c r="E92" i="1"/>
  <c r="E107" i="1" s="1"/>
  <c r="C89" i="1"/>
  <c r="H85" i="1"/>
  <c r="F85" i="1"/>
  <c r="D85" i="1"/>
  <c r="G61" i="1"/>
  <c r="G60" i="1"/>
  <c r="H55" i="1"/>
  <c r="I32" i="1" s="1"/>
  <c r="F55" i="1"/>
  <c r="G55" i="1" s="1"/>
  <c r="E55" i="1"/>
  <c r="E44" i="1"/>
  <c r="D44" i="1"/>
  <c r="H43" i="1"/>
  <c r="H42" i="1"/>
  <c r="H41" i="1"/>
  <c r="H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G36" i="1"/>
  <c r="H36" i="1" s="1"/>
  <c r="F36" i="1"/>
  <c r="F34" i="1" s="1"/>
  <c r="I35" i="1"/>
  <c r="H35" i="1"/>
  <c r="G35" i="1"/>
  <c r="F35" i="1"/>
  <c r="I33" i="1"/>
  <c r="H33" i="1"/>
  <c r="G33" i="1"/>
  <c r="F33" i="1"/>
  <c r="F32" i="1"/>
  <c r="I31" i="1"/>
  <c r="G31" i="1"/>
  <c r="H31" i="1" s="1"/>
  <c r="F31" i="1"/>
  <c r="I30" i="1"/>
  <c r="H30" i="1"/>
  <c r="G30" i="1"/>
  <c r="F30" i="1"/>
  <c r="I29" i="1"/>
  <c r="H29" i="1"/>
  <c r="G29" i="1"/>
  <c r="F29" i="1"/>
  <c r="I28" i="1"/>
  <c r="H28" i="1"/>
  <c r="G28" i="1"/>
  <c r="F28" i="1"/>
  <c r="F27" i="1" s="1"/>
  <c r="I25" i="1"/>
  <c r="I23" i="1" s="1"/>
  <c r="H25" i="1"/>
  <c r="G25" i="1"/>
  <c r="F25" i="1"/>
  <c r="I24" i="1"/>
  <c r="H24" i="1"/>
  <c r="G24" i="1"/>
  <c r="F24" i="1"/>
  <c r="H23" i="1"/>
  <c r="G23" i="1"/>
  <c r="F23" i="1"/>
  <c r="H16" i="1"/>
  <c r="F16" i="1"/>
  <c r="D16" i="1"/>
  <c r="I34" i="1" l="1"/>
  <c r="G34" i="1"/>
  <c r="H34" i="1" s="1"/>
  <c r="F421" i="1"/>
  <c r="I27" i="1"/>
  <c r="I107" i="1"/>
  <c r="I150" i="1"/>
  <c r="G421" i="1"/>
  <c r="H389" i="1"/>
  <c r="I133" i="1"/>
  <c r="F26" i="1"/>
  <c r="F44" i="1" s="1"/>
  <c r="G150" i="1"/>
  <c r="H184" i="1"/>
  <c r="H139" i="1"/>
  <c r="H135" i="1"/>
  <c r="H134" i="1" s="1"/>
  <c r="H133" i="1" s="1"/>
  <c r="G32" i="1"/>
  <c r="H129" i="1"/>
  <c r="H128" i="1" s="1"/>
  <c r="I26" i="1" l="1"/>
  <c r="I44" i="1" s="1"/>
  <c r="H150" i="1"/>
  <c r="G27" i="1"/>
  <c r="G26" i="1" s="1"/>
  <c r="G44" i="1" s="1"/>
  <c r="H32" i="1"/>
  <c r="H27" i="1" s="1"/>
  <c r="H26" i="1"/>
  <c r="H44" i="1" s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<sst xmlns="http://schemas.openxmlformats.org/spreadsheetml/2006/main" count="358" uniqueCount="150">
  <si>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</si>
  <si>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</si>
  <si>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</si>
  <si>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</si>
  <si>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</si>
  <si>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</si>
  <si>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</si>
  <si>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</si>
  <si>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</si>
  <si>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</si>
  <si>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</si>
  <si>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</si>
  <si>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</si>
  <si>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</si>
  <si>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</si>
  <si>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</si>
  <si>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</si>
  <si>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</si>
  <si>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</si>
  <si>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</si>
  <si>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</si>
  <si>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</si>
  <si>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</si>
  <si>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</si>
  <si>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</si>
  <si>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</si>
  <si>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</si>
  <si>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</si>
  <si>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</si>
  <si>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</si>
  <si>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</si>
  <si>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</si>
  <si>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</si>
  <si>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</si>
  <si>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</si>
  <si>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</si>
  <si>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</si>
  <si>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</si>
  <si>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</si>
  <si>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</si>
  <si>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</si>
  <si>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</si>
  <si>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</si>
  <si>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</si>
  <si>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</si>
  <si>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</si>
  <si>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</si>
  <si>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</si>
  <si>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</si>
  <si>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</si>
  <si>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</si>
  <si>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</si>
  <si>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</si>
  <si>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</si>
  <si>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</si>
  <si>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</si>
  <si>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</si>
  <si>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</si>
  <si>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</si>
  <si>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</si>
  <si>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</si>
  <si>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</si>
  <si>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</si>
  <si>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</si>
  <si>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</si>
  <si>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</si>
  <si>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</si>
  <si>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</si>
  <si>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</si>
  <si>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</si>
  <si>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</si>
  <si>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</si>
  <si>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</si>
  <si>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</si>
  <si>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</si>
  <si>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</si>
  <si>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</si>
  <si>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</si>
  <si>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</si>
  <si>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</si>
  <si>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</si>
  <si>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</si>
  <si>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</si>
  <si>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</si>
  <si>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</si>
  <si>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</si>
  <si>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</si>
  <si>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</si>
  <si>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</si>
  <si>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</si>
  <si>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</si>
  <si>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</si>
  <si>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</si>
  <si>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</si>
  <si>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</si>
  <si>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</si>
  <si>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</si>
  <si>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</si>
  <si>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</si>
  <si>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</si>
  <si>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</si>
  <si>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</si>
  <si>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</si>
  <si>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</si>
  <si>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</si>
  <si>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</si>
  <si>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</si>
  <si>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</si>
  <si>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</si>
  <si>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</si>
  <si>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</si>
  <si>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</si>
  <si>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</si>
  <si>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</si>
  <si>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</si>
  <si>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</si>
  <si>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</si>
  <si>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</si>
  <si>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</si>
  <si>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</si>
  <si>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</si>
  <si>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</si>
  <si>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</si>
  <si>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</si>
  <si>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kun tildelt kvote for første halvår. Endelig kvote for 2023 fastsettes etter oppdatert kvoteråd fra ICES.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</si>
  <si>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</si>
  <si>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</si>
  <si>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</si>
  <si>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</si>
  <si>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</si>
  <si>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</si>
  <si>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</si>
  <si>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</si>
  <si>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</si>
  <si>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</si>
  <si>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</si>
  <si>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</si>
  <si>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</si>
  <si>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</si>
  <si>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</si>
  <si>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</si>
  <si>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UKE 25</t>
  </si>
  <si>
    <t>FANGST T.O.M UKE 25</t>
  </si>
  <si>
    <t>RESTKVOTER UKE 25</t>
  </si>
  <si>
    <t>FANGST T.O.M UKE 25 2022</t>
  </si>
  <si>
    <r>
      <t xml:space="preserve">3 </t>
    </r>
    <r>
      <rPr>
        <sz val="9"/>
        <color indexed="8"/>
        <rFont val="Calibri"/>
        <family val="2"/>
      </rPr>
      <t>Registrert rekreasjonsfiske utgjør 520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</si>
  <si>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46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</si>
  <si>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329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</si>
  <si>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Det er fisket 1  664 tonn sei med konvensjonelle redskap som belastes notkvoten.</t>
    </r>
  </si>
  <si>
    <t>FANGST AV TORSK, HYSE, SEI, BLÅKVEITE, SNABELUER, LANGE, BROSME OG REKER 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</si>
</sst>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5608"/>
  <sheetViews>
    <sheetView showGridLines="0" tabSelected="1" showRuler="0" view="pageLayout" zoomScale="85" zoomScaleNormal="85" zoomScaleSheetLayoutView="100" zoomScalePageLayoutView="85" workbookViewId="0">
      <selection activeCell="I10" sqref="I10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7" t="s">
        <v>149</v>
      </c>
      <c r="C2" s="298"/>
      <c r="D2" s="298"/>
      <c r="E2" s="298"/>
      <c r="F2" s="298"/>
      <c r="G2" s="298"/>
      <c r="H2" s="298"/>
      <c r="I2" s="298"/>
      <c r="J2" s="299"/>
    </row>
    <row r="3" spans="1:10" ht="14.85" customHeight="1" x14ac:dyDescent="0.25">
      <c r="A3" s="1"/>
      <c r="B3" s="1"/>
      <c r="C3" s="1" t="s">
        <v>120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120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120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120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120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300"/>
      <c r="C9" s="301"/>
      <c r="D9" s="301"/>
      <c r="E9" s="301"/>
      <c r="F9" s="301"/>
      <c r="G9" s="301"/>
      <c r="H9" s="301"/>
      <c r="I9" s="301"/>
      <c r="J9" s="302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4" t="s">
        <v>1</v>
      </c>
      <c r="D11" s="295"/>
      <c r="E11" s="294" t="s">
        <v>2</v>
      </c>
      <c r="F11" s="295"/>
      <c r="G11" s="294" t="s">
        <v>3</v>
      </c>
      <c r="H11" s="295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137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141</v>
      </c>
      <c r="G22" s="68" t="s">
        <v>142</v>
      </c>
      <c r="H22" s="68" t="s">
        <v>143</v>
      </c>
      <c r="I22" s="68" t="s">
        <v>144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253.68</v>
      </c>
      <c r="G23" s="28">
        <f t="shared" si="0"/>
        <v>47908.919930000004</v>
      </c>
      <c r="H23" s="11">
        <f t="shared" si="0"/>
        <v>38918.080069999996</v>
      </c>
      <c r="I23" s="11">
        <f t="shared" si="0"/>
        <v>56637.959520000004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250.644</f>
        <v>250.64400000000001</v>
      </c>
      <c r="G24" s="23">
        <f>47657.02019</f>
        <v>47657.020190000003</v>
      </c>
      <c r="H24" s="23">
        <f>E24-G24</f>
        <v>38387.979809999997</v>
      </c>
      <c r="I24" s="23">
        <f>56337.75205</f>
        <v>56337.752050000003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3.036</f>
        <v>3.036</v>
      </c>
      <c r="G25" s="23">
        <f>251.89974</f>
        <v>251.89974000000001</v>
      </c>
      <c r="H25" s="23">
        <f>E25-G25</f>
        <v>530.10025999999993</v>
      </c>
      <c r="I25" s="23">
        <f>300.20747</f>
        <v>300.20747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699.34580000000005</v>
      </c>
      <c r="G26" s="11">
        <f t="shared" si="1"/>
        <v>164107.89198000001</v>
      </c>
      <c r="H26" s="11">
        <f t="shared" si="1"/>
        <v>33462.10802</v>
      </c>
      <c r="I26" s="11">
        <f t="shared" si="1"/>
        <v>199294.82090000005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361.54264000000001</v>
      </c>
      <c r="G27" s="134">
        <f t="shared" ref="G27:I27" si="2">G28+G29+G30+G31+G32</f>
        <v>129950.38469000001</v>
      </c>
      <c r="H27" s="134">
        <f t="shared" si="2"/>
        <v>22700.615309999997</v>
      </c>
      <c r="I27" s="134">
        <f t="shared" si="2"/>
        <v>163714.28427000003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82.86782</f>
        <v>82.867819999999995</v>
      </c>
      <c r="G28" s="129">
        <f>35883.40157 - F57</f>
        <v>35883.401570000002</v>
      </c>
      <c r="H28" s="129">
        <f t="shared" ref="H28:H40" si="3">E28-G28</f>
        <v>3665.5984299999982</v>
      </c>
      <c r="I28" s="129">
        <f>42015.65228 - H57</f>
        <v>42015.652280000002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113.13686</f>
        <v>113.13686</v>
      </c>
      <c r="G29" s="129">
        <f>36778.70996 - F58</f>
        <v>36778.70996</v>
      </c>
      <c r="H29" s="129">
        <f t="shared" si="3"/>
        <v>3985.2900399999999</v>
      </c>
      <c r="I29" s="129">
        <f>44272.8884 - H58</f>
        <v>44272.888400000003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119.70188</f>
        <v>119.70188</v>
      </c>
      <c r="G30" s="129">
        <f>34183.65434 - F59</f>
        <v>34183.654340000001</v>
      </c>
      <c r="H30" s="129">
        <f t="shared" si="3"/>
        <v>3083.345659999999</v>
      </c>
      <c r="I30" s="129">
        <f>45291.37032 - H59</f>
        <v>45291.370320000002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45.83608</f>
        <v>45.836080000000003</v>
      </c>
      <c r="G31" s="129">
        <f>23104.61882 - F60</f>
        <v>23104.61882</v>
      </c>
      <c r="H31" s="129">
        <f t="shared" si="3"/>
        <v>2302.3811800000003</v>
      </c>
      <c r="I31" s="129">
        <f>32134.37327 - H60</f>
        <v>32134.37327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0</v>
      </c>
      <c r="G32" s="129">
        <f>F55</f>
        <v>0</v>
      </c>
      <c r="H32" s="129">
        <f t="shared" si="3"/>
        <v>9664</v>
      </c>
      <c r="I32" s="129">
        <f>H55</f>
        <v>0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122.14016</f>
        <v>122.14015999999999</v>
      </c>
      <c r="G33" s="134">
        <f>14348.18554</f>
        <v>14348.18554</v>
      </c>
      <c r="H33" s="134">
        <f t="shared" si="3"/>
        <v>9237.8144599999996</v>
      </c>
      <c r="I33" s="134">
        <f>16415.41486</f>
        <v>16415.414860000001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215.66300000000001</v>
      </c>
      <c r="G34" s="134">
        <f>G35+G36</f>
        <v>19809.321749999999</v>
      </c>
      <c r="H34" s="134">
        <f t="shared" si="3"/>
        <v>1523.6782500000008</v>
      </c>
      <c r="I34" s="134">
        <f>I35+I36</f>
        <v>19165.121770000002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215.663</f>
        <v>215.66300000000001</v>
      </c>
      <c r="G35" s="134">
        <f>23882.32175 - F61 - F62</f>
        <v>19809.321749999999</v>
      </c>
      <c r="H35" s="129">
        <f t="shared" si="3"/>
        <v>323.67825000000084</v>
      </c>
      <c r="I35" s="129">
        <f>20626.12177 - H61 - H62</f>
        <v>19165.121770000002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0</v>
      </c>
      <c r="G36" s="73">
        <f>F60</f>
        <v>0</v>
      </c>
      <c r="H36" s="73">
        <f t="shared" si="3"/>
        <v>1200</v>
      </c>
      <c r="I36" s="73">
        <f>H60</f>
        <v>0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329.8284</f>
        <v>329.82839999999999</v>
      </c>
      <c r="H37" s="141">
        <f t="shared" si="3"/>
        <v>2670.1716000000001</v>
      </c>
      <c r="I37" s="141">
        <f>333.80295</f>
        <v>333.80295000000001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2.1</f>
        <v>2.1</v>
      </c>
      <c r="G38" s="100">
        <f>486.26274</f>
        <v>486.26274000000001</v>
      </c>
      <c r="H38" s="100">
        <f t="shared" si="3"/>
        <v>364.73725999999999</v>
      </c>
      <c r="I38" s="100">
        <f>448.09141</f>
        <v>448.09141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86</v>
      </c>
      <c r="G39" s="100">
        <f>F61</f>
        <v>4073</v>
      </c>
      <c r="H39" s="100">
        <f t="shared" si="3"/>
        <v>-1025</v>
      </c>
      <c r="I39" s="100">
        <f>H61</f>
        <v>1461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17.01876</f>
        <v>17.01876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/>
      <c r="G41" s="100"/>
      <c r="H41" s="100">
        <f>E41-G41</f>
        <v>300</v>
      </c>
      <c r="I41" s="100"/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1058.1475600000001</v>
      </c>
      <c r="G44" s="78">
        <f t="shared" si="4"/>
        <v>223985.46405000004</v>
      </c>
      <c r="H44" s="78">
        <f t="shared" si="4"/>
        <v>74710.535949999961</v>
      </c>
      <c r="I44" s="78">
        <f t="shared" si="4"/>
        <v>265296.61321000004</v>
      </c>
      <c r="J44" s="242"/>
    </row>
    <row r="45" spans="1:13" ht="14.1" customHeight="1" x14ac:dyDescent="0.25">
      <c r="A45" s="101"/>
      <c r="B45" s="24"/>
      <c r="C45" s="80" t="s">
        <v>129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145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128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0" t="s">
        <v>44</v>
      </c>
      <c r="D52" s="290"/>
      <c r="E52" s="290"/>
      <c r="F52" s="290"/>
      <c r="G52" s="290"/>
      <c r="H52" s="290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141</v>
      </c>
      <c r="F54" s="68" t="s">
        <v>142</v>
      </c>
      <c r="G54" s="68" t="s">
        <v>143</v>
      </c>
      <c r="H54" s="68" t="s">
        <v>144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1">
        <v>9840</v>
      </c>
      <c r="E55" s="11">
        <f>E59+E58+E57+E56</f>
        <v>0</v>
      </c>
      <c r="F55" s="11">
        <f>F59+F58+F57+F56</f>
        <v>0</v>
      </c>
      <c r="G55" s="291">
        <f>D55-F55</f>
        <v>9840</v>
      </c>
      <c r="H55" s="11">
        <f>H59+H58+H57+H56</f>
        <v>0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292"/>
      <c r="E56" s="129"/>
      <c r="F56" s="129"/>
      <c r="G56" s="292"/>
      <c r="H56" s="129"/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292"/>
      <c r="E57" s="129"/>
      <c r="F57" s="129"/>
      <c r="G57" s="292"/>
      <c r="H57" s="129"/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292"/>
      <c r="E58" s="129"/>
      <c r="F58" s="129"/>
      <c r="G58" s="292"/>
      <c r="H58" s="129"/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293"/>
      <c r="E59" s="194"/>
      <c r="F59" s="194"/>
      <c r="G59" s="293"/>
      <c r="H59" s="194"/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0</v>
      </c>
      <c r="F60" s="97">
        <v>0</v>
      </c>
      <c r="G60" s="97">
        <f>D60-F60</f>
        <v>1200</v>
      </c>
      <c r="H60" s="97">
        <v>0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86</v>
      </c>
      <c r="F61" s="141">
        <v>4073</v>
      </c>
      <c r="G61" s="141">
        <f>D61-F61</f>
        <v>-1073</v>
      </c>
      <c r="H61" s="141">
        <v>1461</v>
      </c>
      <c r="I61" s="256"/>
      <c r="J61" s="242"/>
    </row>
    <row r="62" spans="1:10" ht="14.1" customHeight="1" x14ac:dyDescent="0.25">
      <c r="A62" s="101"/>
      <c r="B62" s="24"/>
      <c r="C62" s="80" t="s">
        <v>125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120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4" t="s">
        <v>1</v>
      </c>
      <c r="D81" s="295"/>
      <c r="E81" s="294" t="s">
        <v>2</v>
      </c>
      <c r="F81" s="296"/>
      <c r="G81" s="294" t="s">
        <v>3</v>
      </c>
      <c r="H81" s="295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138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141</v>
      </c>
      <c r="G91" s="15" t="s">
        <v>142</v>
      </c>
      <c r="H91" s="15" t="s">
        <v>143</v>
      </c>
      <c r="I91" s="15" t="s">
        <v>144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13.686400000000001</v>
      </c>
      <c r="G92" s="11">
        <f t="shared" si="5"/>
        <v>38653.616520000003</v>
      </c>
      <c r="H92" s="11">
        <f t="shared" si="5"/>
        <v>-3854.6165200000023</v>
      </c>
      <c r="I92" s="11">
        <f t="shared" si="5"/>
        <v>34809.056790000002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13.6864</f>
        <v>13.686400000000001</v>
      </c>
      <c r="G93" s="23">
        <f>38159.63758</f>
        <v>38159.637580000002</v>
      </c>
      <c r="H93" s="23">
        <f>E93-G93</f>
        <v>-4172.6375800000023</v>
      </c>
      <c r="I93" s="23">
        <f>34159.52812</f>
        <v>34159.528120000003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0</f>
        <v>0</v>
      </c>
      <c r="G94" s="52">
        <f>493.97894</f>
        <v>493.97894000000002</v>
      </c>
      <c r="H94" s="52">
        <f>E94-G94</f>
        <v>318.02105999999998</v>
      </c>
      <c r="I94" s="52">
        <f>649.52867</f>
        <v>649.52867000000003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983.35640999999998</v>
      </c>
      <c r="G95" s="11">
        <f t="shared" si="6"/>
        <v>21367.87529</v>
      </c>
      <c r="H95" s="11">
        <f t="shared" si="6"/>
        <v>38132.124709999996</v>
      </c>
      <c r="I95" s="11">
        <f t="shared" si="6"/>
        <v>25820.268950000001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869.98783000000003</v>
      </c>
      <c r="G96" s="134">
        <f t="shared" si="7"/>
        <v>15043.0561</v>
      </c>
      <c r="H96" s="134">
        <f t="shared" si="7"/>
        <v>29447.943900000002</v>
      </c>
      <c r="I96" s="134">
        <f t="shared" si="7"/>
        <v>20176.508229999999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44.47338</f>
        <v>44.473379999999999</v>
      </c>
      <c r="G97" s="129">
        <f>2351.31628</f>
        <v>2351.31628</v>
      </c>
      <c r="H97" s="129">
        <f t="shared" ref="H97:H104" si="8">E97-G97</f>
        <v>9532.3837200000016</v>
      </c>
      <c r="I97" s="129">
        <f>2499.94394</f>
        <v>2499.9439400000001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259.48193</f>
        <v>259.48192999999998</v>
      </c>
      <c r="G98" s="129">
        <f>4830.63847</f>
        <v>4830.6384699999999</v>
      </c>
      <c r="H98" s="129">
        <f t="shared" si="8"/>
        <v>7834.4615300000005</v>
      </c>
      <c r="I98" s="129">
        <f>6794.78635</f>
        <v>6794.7863500000003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306.06308</f>
        <v>306.06308000000001</v>
      </c>
      <c r="G99" s="129">
        <f>4146.23274</f>
        <v>4146.2327400000004</v>
      </c>
      <c r="H99" s="129">
        <f t="shared" si="8"/>
        <v>7819.36726</v>
      </c>
      <c r="I99" s="129">
        <f>5748.08422</f>
        <v>5748.0842199999997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259.96944</f>
        <v>259.96944000000002</v>
      </c>
      <c r="G100" s="129">
        <f>3714.86861</f>
        <v>3714.86861</v>
      </c>
      <c r="H100" s="129">
        <f t="shared" si="8"/>
        <v>4261.7313900000008</v>
      </c>
      <c r="I100" s="129">
        <f>5133.69372</f>
        <v>5133.6937200000002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74.67428</f>
        <v>74.674279999999996</v>
      </c>
      <c r="G101" s="134">
        <f>5144.6063</f>
        <v>5144.6063000000004</v>
      </c>
      <c r="H101" s="134">
        <f t="shared" si="8"/>
        <v>5246.3936999999996</v>
      </c>
      <c r="I101" s="134">
        <f>4672.57298</f>
        <v>4672.5729799999999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38.6943</f>
        <v>38.694299999999998</v>
      </c>
      <c r="G102" s="77">
        <f>1180.21289</f>
        <v>1180.21289</v>
      </c>
      <c r="H102" s="77">
        <f t="shared" si="8"/>
        <v>3437.7871100000002</v>
      </c>
      <c r="I102" s="77">
        <f>971.18774</f>
        <v>971.18773999999996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11.24867</f>
        <v>11.248670000000001</v>
      </c>
      <c r="H103" s="100">
        <f t="shared" si="8"/>
        <v>308.75133</v>
      </c>
      <c r="I103" s="100">
        <f>21.99483</f>
        <v>21.99483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3.85423</f>
        <v>3.8542299999999998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41"/>
      <c r="G105" s="141"/>
      <c r="H105" s="141">
        <f>E105-G105</f>
        <v>50</v>
      </c>
      <c r="I105" s="141"/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1000.8970400000001</v>
      </c>
      <c r="G107" s="78">
        <f t="shared" si="9"/>
        <v>60341.508279999995</v>
      </c>
      <c r="H107" s="78">
        <f t="shared" si="9"/>
        <v>34627.491720000005</v>
      </c>
      <c r="I107" s="78">
        <f t="shared" si="9"/>
        <v>60995.055350000002</v>
      </c>
      <c r="J107" s="242"/>
    </row>
    <row r="108" spans="1:10" ht="13.5" customHeight="1" x14ac:dyDescent="0.25">
      <c r="A108" s="1"/>
      <c r="B108" s="252"/>
      <c r="C108" s="80" t="s">
        <v>127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146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126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120</v>
      </c>
      <c r="D113" s="226"/>
      <c r="E113" s="226"/>
      <c r="F113" s="226"/>
      <c r="G113" s="226"/>
      <c r="H113" s="226"/>
      <c r="I113" s="101"/>
      <c r="J113" s="101" t="s">
        <v>120</v>
      </c>
    </row>
    <row r="114" spans="1:10" ht="14.25" customHeight="1" x14ac:dyDescent="0.25">
      <c r="A114" s="1"/>
      <c r="B114" s="101"/>
      <c r="C114" s="101" t="s">
        <v>120</v>
      </c>
      <c r="D114" s="101" t="s">
        <v>120</v>
      </c>
      <c r="E114" s="101"/>
      <c r="F114" s="101"/>
      <c r="G114" s="101"/>
      <c r="H114" s="101"/>
      <c r="I114" s="101"/>
      <c r="J114" s="101" t="s">
        <v>120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212544</v>
      </c>
      <c r="E119" s="102" t="s">
        <v>4</v>
      </c>
      <c r="F119" s="116">
        <v>77128</v>
      </c>
      <c r="G119" s="117" t="s">
        <v>5</v>
      </c>
      <c r="H119" s="116">
        <v>8713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79212</v>
      </c>
      <c r="G120" s="117" t="s">
        <v>8</v>
      </c>
      <c r="H120" s="119">
        <v>59409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2150</v>
      </c>
      <c r="E121" s="117" t="s">
        <v>60</v>
      </c>
      <c r="F121" s="119">
        <v>52113</v>
      </c>
      <c r="G121" s="117" t="s">
        <v>11</v>
      </c>
      <c r="H121" s="119">
        <v>11090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212544</v>
      </c>
      <c r="G123" s="180" t="s">
        <v>7</v>
      </c>
      <c r="H123" s="35">
        <v>79212</v>
      </c>
      <c r="I123" s="181"/>
      <c r="J123" s="242"/>
    </row>
    <row r="124" spans="1:10" ht="12" customHeight="1" x14ac:dyDescent="0.25">
      <c r="A124" s="101"/>
      <c r="B124" s="24"/>
      <c r="C124" s="101" t="s">
        <v>130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141</v>
      </c>
      <c r="G127" s="15" t="s">
        <v>142</v>
      </c>
      <c r="H127" s="15" t="s">
        <v>143</v>
      </c>
      <c r="I127" s="15" t="s">
        <v>144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77128</v>
      </c>
      <c r="E128" s="28">
        <f t="shared" ref="E128:I128" si="10">E129+E130+E131</f>
        <v>70541</v>
      </c>
      <c r="F128" s="11">
        <f t="shared" si="10"/>
        <v>196.15635</v>
      </c>
      <c r="G128" s="11">
        <f t="shared" si="10"/>
        <v>37431.348819999999</v>
      </c>
      <c r="H128" s="11">
        <f t="shared" si="10"/>
        <v>33109.651180000001</v>
      </c>
      <c r="I128" s="11">
        <f t="shared" si="10"/>
        <v>36560.845439999997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61702</v>
      </c>
      <c r="E129" s="48">
        <v>56092</v>
      </c>
      <c r="F129" s="23">
        <f>196.15635</f>
        <v>196.15635</v>
      </c>
      <c r="G129" s="23">
        <f>32881.68044</f>
        <v>32881.680439999996</v>
      </c>
      <c r="H129" s="23">
        <f>E129-G129</f>
        <v>23210.319560000004</v>
      </c>
      <c r="I129" s="23">
        <f>30822.73978</f>
        <v>30822.73978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14926</v>
      </c>
      <c r="E130" s="48">
        <v>13949</v>
      </c>
      <c r="F130" s="23">
        <f>0</f>
        <v>0</v>
      </c>
      <c r="G130" s="23">
        <f>4549.66838</f>
        <v>4549.6683800000001</v>
      </c>
      <c r="H130" s="23">
        <f>E130-G130</f>
        <v>9399.3316200000008</v>
      </c>
      <c r="I130" s="23">
        <f>5738.10566</f>
        <v>5738.1056600000002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58"/>
      <c r="G131" s="58"/>
      <c r="H131" s="58">
        <f>E131-G131</f>
        <v>500</v>
      </c>
      <c r="I131" s="58"/>
      <c r="J131" s="242"/>
    </row>
    <row r="132" spans="1:10" ht="14.25" customHeight="1" x14ac:dyDescent="0.25">
      <c r="A132" s="70"/>
      <c r="B132" s="81"/>
      <c r="C132" s="91" t="s">
        <v>65</v>
      </c>
      <c r="D132" s="93">
        <v>52113</v>
      </c>
      <c r="E132" s="93">
        <v>49172</v>
      </c>
      <c r="F132" s="97">
        <f>4543.4303</f>
        <v>4543.4303</v>
      </c>
      <c r="G132" s="97">
        <f>22085.43409+1664.182225</f>
        <v>23749.616314999999</v>
      </c>
      <c r="H132" s="97">
        <f>E132-G132</f>
        <v>25422.383685000001</v>
      </c>
      <c r="I132" s="97">
        <f>21868.15002</f>
        <v>21868.150020000001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80721</v>
      </c>
      <c r="E133" s="145">
        <f>E134+E139+E142</f>
        <v>80940</v>
      </c>
      <c r="F133" s="96">
        <f>F134+F139+F142</f>
        <v>710.90877999999998</v>
      </c>
      <c r="G133" s="96">
        <f t="shared" ref="G133" si="11">G134+G139+G142</f>
        <v>45446.295395000001</v>
      </c>
      <c r="H133" s="96">
        <f>H134+H139+H142</f>
        <v>35493.704604999999</v>
      </c>
      <c r="I133" s="96">
        <f>I134+I139+I142</f>
        <v>43301.034150000007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60918</v>
      </c>
      <c r="E134" s="125">
        <f>E135+E136+E137+E138</f>
        <v>59504</v>
      </c>
      <c r="F134" s="127">
        <f>F135+F136+F137+F138</f>
        <v>478.08532000000002</v>
      </c>
      <c r="G134" s="127">
        <f>G135+G136+G138+G137</f>
        <v>35196.522884999998</v>
      </c>
      <c r="H134" s="127">
        <f>H135+H136+H137+H138</f>
        <v>24307.477115000002</v>
      </c>
      <c r="I134" s="127">
        <f>I135+I136+I137+I138</f>
        <v>33804.939460000001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16169</v>
      </c>
      <c r="E135" s="65">
        <v>17504</v>
      </c>
      <c r="F135" s="129">
        <f>132.18124</f>
        <v>132.18124</v>
      </c>
      <c r="G135" s="129">
        <v>5938.04799</v>
      </c>
      <c r="H135" s="129">
        <f>E135-G135</f>
        <v>11565.952010000001</v>
      </c>
      <c r="I135" s="129">
        <f>4914.15138</f>
        <v>4914.1513800000002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16559</v>
      </c>
      <c r="E136" s="65">
        <v>15084</v>
      </c>
      <c r="F136" s="129">
        <f>36.80531</f>
        <v>36.805309999999999</v>
      </c>
      <c r="G136" s="129">
        <v>10124.54437</v>
      </c>
      <c r="H136" s="129">
        <f>E136-G136</f>
        <v>4959.4556300000004</v>
      </c>
      <c r="I136" s="129">
        <f>8112.01372</f>
        <v>8112.0137199999999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15131</v>
      </c>
      <c r="E137" s="65">
        <v>15023</v>
      </c>
      <c r="F137" s="129">
        <f>242.94017</f>
        <v>242.94016999999999</v>
      </c>
      <c r="G137" s="129">
        <v>9907.8952300000001</v>
      </c>
      <c r="H137" s="129">
        <f>E137-G137</f>
        <v>5115.1047699999999</v>
      </c>
      <c r="I137" s="129">
        <f>10487.14449</f>
        <v>10487.144490000001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13057</v>
      </c>
      <c r="E138" s="65">
        <v>11893</v>
      </c>
      <c r="F138" s="129">
        <f>66.1586</f>
        <v>66.158600000000007</v>
      </c>
      <c r="G138" s="129">
        <v>9226.0352949999997</v>
      </c>
      <c r="H138" s="129">
        <f>E138-G138</f>
        <v>2666.9647050000003</v>
      </c>
      <c r="I138" s="129">
        <f>10291.62987</f>
        <v>10291.629870000001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8713</v>
      </c>
      <c r="E139" s="60">
        <f>E141+E140</f>
        <v>9432</v>
      </c>
      <c r="F139" s="134">
        <f>SUM(F140:F141)</f>
        <v>5.5049999999999999</v>
      </c>
      <c r="G139" s="134">
        <f>SUM(G140:G141)</f>
        <v>6466.7301100000004</v>
      </c>
      <c r="H139" s="134">
        <f>H140+H141</f>
        <v>2965.2698899999996</v>
      </c>
      <c r="I139" s="134">
        <f>SUM(I140:I141)</f>
        <v>5895.7582600000005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8213</v>
      </c>
      <c r="E140" s="65">
        <v>8932</v>
      </c>
      <c r="F140" s="129">
        <f>0</f>
        <v>0</v>
      </c>
      <c r="G140" s="129">
        <f>6328.51893</f>
        <v>6328.5189300000002</v>
      </c>
      <c r="H140" s="129">
        <f t="shared" ref="H140:H147" si="12">E140-G140</f>
        <v>2603.4810699999998</v>
      </c>
      <c r="I140" s="129">
        <f>5779.14662</f>
        <v>5779.1466200000004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5.505</f>
        <v>5.5049999999999999</v>
      </c>
      <c r="G141" s="129">
        <f>138.21118</f>
        <v>138.21118000000001</v>
      </c>
      <c r="H141" s="129">
        <f t="shared" si="12"/>
        <v>361.78881999999999</v>
      </c>
      <c r="I141" s="129">
        <f>116.61164</f>
        <v>116.61163999999999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11090</v>
      </c>
      <c r="E142" s="63">
        <v>12004</v>
      </c>
      <c r="F142" s="77">
        <f>227.31846</f>
        <v>227.31845999999999</v>
      </c>
      <c r="G142" s="77">
        <f>3783.0424</f>
        <v>3783.0423999999998</v>
      </c>
      <c r="H142" s="77">
        <f t="shared" si="12"/>
        <v>8220.9575999999997</v>
      </c>
      <c r="I142" s="77">
        <f>3600.33643</f>
        <v>3600.3364299999998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30.361</f>
        <v>30.361000000000001</v>
      </c>
      <c r="H143" s="141">
        <f t="shared" si="12"/>
        <v>106.639</v>
      </c>
      <c r="I143" s="141">
        <f>21.55052</f>
        <v>21.550519999999999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2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37.16566</f>
        <v>37.165660000000003</v>
      </c>
      <c r="G145" s="141">
        <v>2000</v>
      </c>
      <c r="H145" s="141">
        <f t="shared" si="12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2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41"/>
      <c r="G147" s="141"/>
      <c r="H147" s="141">
        <f t="shared" si="12"/>
        <v>195</v>
      </c>
      <c r="I147" s="141"/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/>
      <c r="G148" s="141"/>
      <c r="H148" s="141"/>
      <c r="I148" s="141"/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3">D128+D132+D133+D143+D144+D145+D146+D147+D148</f>
        <v>212544</v>
      </c>
      <c r="E150" s="78">
        <f t="shared" si="13"/>
        <v>203235</v>
      </c>
      <c r="F150" s="78">
        <f>F128+F132+F133+F143+F144+F145+F146+F147+F148</f>
        <v>5487.6610899999996</v>
      </c>
      <c r="G150" s="78">
        <f>G128+G132+G133+G143+G144+G145+G146+G147+G148</f>
        <v>108920.20253000001</v>
      </c>
      <c r="H150" s="78">
        <f>H128+H132+H133+H143+H144+H145+H146+H147+H148</f>
        <v>94314.79746999999</v>
      </c>
      <c r="I150" s="78">
        <f>I128+I132+I133+I143+I144+I145+I146+I147+I148</f>
        <v>104058.55613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131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148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147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132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120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120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120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141</v>
      </c>
      <c r="F174" s="15" t="s">
        <v>142</v>
      </c>
      <c r="G174" s="56" t="s">
        <v>143</v>
      </c>
      <c r="H174" s="15" t="s">
        <v>144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31.87152</f>
        <v>31.87152</v>
      </c>
      <c r="F175" s="274">
        <f>959.07982</f>
        <v>959.07982000000004</v>
      </c>
      <c r="G175" s="45">
        <f>D175-F175-F176</f>
        <v>2923.0854100000001</v>
      </c>
      <c r="H175" s="274">
        <f>627.85527</f>
        <v>627.85527000000002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145.67178</f>
        <v>145.67178000000001</v>
      </c>
      <c r="F176" s="154">
        <f>1105.83477</f>
        <v>1105.8347699999999</v>
      </c>
      <c r="G176" s="215"/>
      <c r="H176" s="154">
        <f>1051.43886</f>
        <v>1051.43886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55.41002</f>
        <v>55.410020000000003</v>
      </c>
      <c r="G177" s="174">
        <f>D177-F177</f>
        <v>144.58998</v>
      </c>
      <c r="H177" s="174">
        <f>48.95794</f>
        <v>48.957940000000001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8.368920000000001</v>
      </c>
      <c r="F178" s="183">
        <f>F179+F180+F181</f>
        <v>4805.6090100000001</v>
      </c>
      <c r="G178" s="183">
        <f>D178-F178</f>
        <v>2675.3909899999999</v>
      </c>
      <c r="H178" s="183">
        <f>H179+H180+H181</f>
        <v>5056.2907999999998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2.3628</f>
        <v>2.3628</v>
      </c>
      <c r="F179" s="129">
        <f>2239.47855</f>
        <v>2239.4785499999998</v>
      </c>
      <c r="G179" s="129"/>
      <c r="H179" s="129">
        <f>2555.19702</f>
        <v>2555.1970200000001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3.10584</f>
        <v>3.1058400000000002</v>
      </c>
      <c r="F180" s="129">
        <f>1580.02628</f>
        <v>1580.02628</v>
      </c>
      <c r="G180" s="129"/>
      <c r="H180" s="129">
        <f>1530.86667</f>
        <v>1530.8666700000001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2.90028</f>
        <v>2.90028</v>
      </c>
      <c r="F181" s="194">
        <f>986.10418</f>
        <v>986.10418000000004</v>
      </c>
      <c r="G181" s="194"/>
      <c r="H181" s="194">
        <f>970.22711</f>
        <v>970.22711000000004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185.91222000000002</v>
      </c>
      <c r="F184" s="196">
        <f>F175+F176+F177+F178+F182+F183</f>
        <v>6925.9336199999998</v>
      </c>
      <c r="G184" s="196">
        <f>D184-F184</f>
        <v>5809.0663800000002</v>
      </c>
      <c r="H184" s="196">
        <f>H175+H176+H177+H178+H182+H183</f>
        <v>6784.5428699999993</v>
      </c>
      <c r="I184" s="165"/>
      <c r="J184" s="162"/>
    </row>
    <row r="185" spans="1:10" ht="42" customHeight="1" x14ac:dyDescent="0.25">
      <c r="A185" s="1"/>
      <c r="B185" s="200"/>
      <c r="C185" s="225" t="s">
        <v>133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120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120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120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134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135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136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141</v>
      </c>
      <c r="F203" s="68" t="s">
        <v>142</v>
      </c>
      <c r="G203" s="68" t="s">
        <v>143</v>
      </c>
      <c r="H203" s="68" t="s">
        <v>144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818.43171</f>
        <v>818.43170999999995</v>
      </c>
      <c r="F204" s="124">
        <f>35736.91363</f>
        <v>35736.913630000003</v>
      </c>
      <c r="G204" s="124">
        <f>D204-F204</f>
        <v>8102.0863699999973</v>
      </c>
      <c r="H204" s="124">
        <f>23943.65991</f>
        <v>23943.659909999998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0.142</f>
        <v>0.14199999999999999</v>
      </c>
      <c r="F205" s="124">
        <f>16.60875</f>
        <v>16.608750000000001</v>
      </c>
      <c r="G205" s="124">
        <f>D205-F205</f>
        <v>83.391249999999999</v>
      </c>
      <c r="H205" s="124">
        <f>21.48955</f>
        <v>21.489550000000001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818.57371000000001</v>
      </c>
      <c r="F207" s="190">
        <f>SUM(F204:F206)</f>
        <v>35753.522380000002</v>
      </c>
      <c r="G207" s="190">
        <f>D207-F207</f>
        <v>8227.4776199999978</v>
      </c>
      <c r="H207" s="190">
        <f>SUM(H204:H206)</f>
        <v>23965.149459999997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120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139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120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141</v>
      </c>
      <c r="F248" s="68" t="s">
        <v>142</v>
      </c>
      <c r="G248" s="68" t="s">
        <v>143</v>
      </c>
      <c r="H248" s="68" t="s">
        <v>144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0</f>
        <v>0</v>
      </c>
      <c r="F249" s="77">
        <f>198.31024</f>
        <v>198.31023999999999</v>
      </c>
      <c r="G249" s="77"/>
      <c r="H249" s="77">
        <f>127.87428</f>
        <v>127.87428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129.60094</f>
        <v>129.60094000000001</v>
      </c>
      <c r="F250" s="77">
        <f>4299.3782</f>
        <v>4299.3782000000001</v>
      </c>
      <c r="G250" s="77"/>
      <c r="H250" s="77">
        <f>3691.68157</f>
        <v>3691.6815700000002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29.8745</f>
        <v>29.874500000000001</v>
      </c>
      <c r="F251" s="124">
        <f>1637.53881</f>
        <v>1637.53881</v>
      </c>
      <c r="G251" s="168"/>
      <c r="H251" s="124">
        <f>1092.00878</f>
        <v>1092.0087799999999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159.47544000000002</v>
      </c>
      <c r="F252" s="190">
        <f>SUM(F249:F251)</f>
        <v>6135.2272499999999</v>
      </c>
      <c r="G252" s="190">
        <f>D252-F252</f>
        <v>4318.7727500000001</v>
      </c>
      <c r="H252" s="190">
        <f>SUM(H249:H251)</f>
        <v>4911.5646299999999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120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140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120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141</v>
      </c>
      <c r="F293" s="68" t="s">
        <v>142</v>
      </c>
      <c r="G293" s="68" t="s">
        <v>143</v>
      </c>
      <c r="H293" s="68" t="s">
        <v>144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0</f>
        <v>0</v>
      </c>
      <c r="F294" s="77">
        <f>212.5564</f>
        <v>212.5564</v>
      </c>
      <c r="G294" s="77"/>
      <c r="H294" s="77">
        <f>154.0154</f>
        <v>154.0154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93.06266</f>
        <v>93.062659999999994</v>
      </c>
      <c r="F295" s="77">
        <f>2100.36448</f>
        <v>2100.3644800000002</v>
      </c>
      <c r="G295" s="77"/>
      <c r="H295" s="77">
        <f>1529.94374</f>
        <v>1529.9437399999999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110.21438</f>
        <v>110.21438000000001</v>
      </c>
      <c r="F296" s="124">
        <f>2002.41568</f>
        <v>2002.4156800000001</v>
      </c>
      <c r="G296" s="168"/>
      <c r="H296" s="124">
        <f>1308.54585</f>
        <v>1308.54585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203.27704</v>
      </c>
      <c r="F297" s="190">
        <f>SUM(F294:F296)</f>
        <v>4315.3365599999997</v>
      </c>
      <c r="G297" s="190">
        <f>D297-F297</f>
        <v>3760.6634400000003</v>
      </c>
      <c r="H297" s="190">
        <f>SUM(H294:H296)</f>
        <v>2992.5049899999999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120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120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141</v>
      </c>
      <c r="F347" s="68" t="s">
        <v>142</v>
      </c>
      <c r="G347" s="68" t="s">
        <v>143</v>
      </c>
      <c r="H347" s="68" t="s">
        <v>144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11.28326</f>
        <v>11.28326</v>
      </c>
      <c r="F348" s="124">
        <f>268.59663</f>
        <v>268.59663</v>
      </c>
      <c r="G348" s="124">
        <f>D348-F348</f>
        <v>531.40337</v>
      </c>
      <c r="H348" s="124">
        <f>165.16395</f>
        <v>165.16395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31.71055</f>
        <v>31.710550000000001</v>
      </c>
      <c r="F349" s="124">
        <f>746.25481</f>
        <v>746.25481000000002</v>
      </c>
      <c r="G349" s="124">
        <f>D349-F349</f>
        <v>1747.7451900000001</v>
      </c>
      <c r="H349" s="124">
        <f>554.8117</f>
        <v>554.81169999999997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0.63874</f>
        <v>0.63873999999999997</v>
      </c>
      <c r="G350" s="124">
        <f>D350-F350</f>
        <v>4.3612599999999997</v>
      </c>
      <c r="H350" s="168">
        <f>0.9169</f>
        <v>0.91690000000000005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0.033</f>
        <v>3.3000000000000002E-2</v>
      </c>
      <c r="F351" s="168">
        <f>1.68235</f>
        <v>1.68235</v>
      </c>
      <c r="G351" s="124"/>
      <c r="H351" s="168">
        <f>3.1181</f>
        <v>3.1181000000000001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43.026810000000005</v>
      </c>
      <c r="F352" s="190">
        <f>SUM(F348:F351)</f>
        <v>1017.1725300000001</v>
      </c>
      <c r="G352" s="190">
        <f>D352-F352</f>
        <v>2281.8274700000002</v>
      </c>
      <c r="H352" s="190">
        <f>H348+H349+H350+H351</f>
        <v>724.01065000000006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120</v>
      </c>
    </row>
    <row r="356" spans="1:10" ht="14.1" customHeight="1" x14ac:dyDescent="0.25">
      <c r="A356" s="1" t="s">
        <v>120</v>
      </c>
    </row>
    <row r="357" spans="1:10" ht="14.1" customHeight="1" x14ac:dyDescent="0.25">
      <c r="A357" s="1" t="s">
        <v>120</v>
      </c>
    </row>
    <row r="358" spans="1:10" ht="14.1" customHeight="1" x14ac:dyDescent="0.25">
      <c r="A358" s="1"/>
      <c r="C358" s="152" t="s">
        <v>120</v>
      </c>
    </row>
    <row r="359" spans="1:10" ht="36" customHeight="1" x14ac:dyDescent="0.25">
      <c r="A359" s="1"/>
      <c r="C359" s="152" t="s">
        <v>120</v>
      </c>
    </row>
    <row r="360" spans="1:10" ht="14.1" customHeight="1" x14ac:dyDescent="0.25">
      <c r="A360" s="1"/>
      <c r="C360" s="152" t="s">
        <v>120</v>
      </c>
    </row>
    <row r="361" spans="1:10" ht="14.1" customHeight="1" x14ac:dyDescent="0.25">
      <c r="A361" s="1"/>
      <c r="C361" s="152" t="s">
        <v>120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121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141</v>
      </c>
      <c r="G377" s="221" t="s">
        <v>142</v>
      </c>
      <c r="H377" s="221" t="s">
        <v>143</v>
      </c>
      <c r="I377" s="221" t="s">
        <v>144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4">D382+D381+D380+D379</f>
        <v>13765</v>
      </c>
      <c r="E378" s="249">
        <f t="shared" si="14"/>
        <v>16102</v>
      </c>
      <c r="F378" s="251">
        <f t="shared" si="14"/>
        <v>183.6995</v>
      </c>
      <c r="G378" s="251">
        <f t="shared" si="14"/>
        <v>5577.3421099999996</v>
      </c>
      <c r="H378" s="251">
        <f>H382+H381+H380+H379</f>
        <v>10524.657889999999</v>
      </c>
      <c r="I378" s="251">
        <f t="shared" si="14"/>
        <v>3003.5758799999999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38.11725</f>
        <v>38.117249999999999</v>
      </c>
      <c r="G379" s="255">
        <f>2352.78733</f>
        <v>2352.7873300000001</v>
      </c>
      <c r="H379" s="255">
        <f t="shared" ref="H379:H383" si="15">E379-G379</f>
        <v>5824.2126699999999</v>
      </c>
      <c r="I379" s="255">
        <f>1355.29893</f>
        <v>1355.2989299999999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0</f>
        <v>0</v>
      </c>
      <c r="G380" s="255">
        <f>806.0337</f>
        <v>806.03369999999995</v>
      </c>
      <c r="H380" s="255">
        <f t="shared" si="15"/>
        <v>1321.9663</v>
      </c>
      <c r="I380" s="255">
        <f>490.4118</f>
        <v>490.41180000000003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13.11905</f>
        <v>13.11905</v>
      </c>
      <c r="G381" s="255">
        <f>1302.50178</f>
        <v>1302.5017800000001</v>
      </c>
      <c r="H381" s="255">
        <f t="shared" si="15"/>
        <v>54.498219999999947</v>
      </c>
      <c r="I381" s="255">
        <f>929.56675</f>
        <v>929.56674999999996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132.4632</f>
        <v>132.4632</v>
      </c>
      <c r="G382" s="255">
        <f>1116.0193</f>
        <v>1116.0192999999999</v>
      </c>
      <c r="H382" s="255">
        <f t="shared" si="15"/>
        <v>3323.9807000000001</v>
      </c>
      <c r="I382" s="255">
        <f>228.2984</f>
        <v>228.29839999999999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49.47602</f>
        <v>49.476019999999998</v>
      </c>
      <c r="G383" s="266">
        <f>4770.48048</f>
        <v>4770.4804800000002</v>
      </c>
      <c r="H383" s="266">
        <f t="shared" si="15"/>
        <v>729.51951999999983</v>
      </c>
      <c r="I383" s="266">
        <f>4496.00328</f>
        <v>4496.0032799999999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30.820779999999999</v>
      </c>
      <c r="G384" s="267">
        <f>G386+G385</f>
        <v>2034.9615200000001</v>
      </c>
      <c r="H384" s="267">
        <f>E384-G384</f>
        <v>5965.0384800000002</v>
      </c>
      <c r="I384" s="267">
        <f>I386+I385</f>
        <v>1767.2355400000001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1.72035</f>
        <v>1.72035</v>
      </c>
      <c r="G385" s="255">
        <f>750.43236</f>
        <v>750.43236000000002</v>
      </c>
      <c r="H385" s="255"/>
      <c r="I385" s="255">
        <f>901.01894</f>
        <v>901.01894000000004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29.10043</f>
        <v>29.100429999999999</v>
      </c>
      <c r="G386" s="276">
        <f>1284.52916</f>
        <v>1284.52916</v>
      </c>
      <c r="H386" s="276"/>
      <c r="I386" s="276">
        <f>866.2166</f>
        <v>866.21659999999997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0.0735</f>
        <v>7.3499999999999996E-2</v>
      </c>
      <c r="H387" s="266">
        <f>E387-G387</f>
        <v>9.9265000000000008</v>
      </c>
      <c r="I387" s="266">
        <f>0.1593</f>
        <v>0.1593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5.83372</f>
        <v>5.8337199999999996</v>
      </c>
      <c r="G388" s="266">
        <f>36.11196</f>
        <v>36.111960000000003</v>
      </c>
      <c r="H388" s="266">
        <f>E388-G388</f>
        <v>-36.111960000000003</v>
      </c>
      <c r="I388" s="266">
        <f>73.25855</f>
        <v>73.25855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6">F378+F383+F384+F387+F388</f>
        <v>269.83001999999999</v>
      </c>
      <c r="G389" s="285">
        <f t="shared" si="16"/>
        <v>12418.969570000001</v>
      </c>
      <c r="H389" s="285">
        <f>H378+H383+H384+H387+H388</f>
        <v>17193.030430000003</v>
      </c>
      <c r="I389" s="285">
        <f t="shared" si="16"/>
        <v>9340.2325499999988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122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123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120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120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120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85</v>
      </c>
      <c r="D401" s="268">
        <v>3360</v>
      </c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>
        <v>2399</v>
      </c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>
        <v>123</v>
      </c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>
        <v>5882</v>
      </c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 t="s">
        <v>114</v>
      </c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 t="s">
        <v>124</v>
      </c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115</v>
      </c>
      <c r="D410" s="22" t="s">
        <v>116</v>
      </c>
      <c r="E410" s="20" t="s">
        <v>141</v>
      </c>
      <c r="F410" s="20" t="s">
        <v>142</v>
      </c>
      <c r="G410" s="25" t="s">
        <v>143</v>
      </c>
      <c r="H410" s="20" t="s">
        <v>144</v>
      </c>
      <c r="I410" s="222"/>
      <c r="J410" s="13"/>
    </row>
    <row r="411" spans="1:10" ht="14.1" customHeight="1" x14ac:dyDescent="0.25">
      <c r="A411" s="216"/>
      <c r="B411" s="74"/>
      <c r="C411" s="263" t="s">
        <v>117</v>
      </c>
      <c r="D411" s="10">
        <v>2241</v>
      </c>
      <c r="E411" s="26">
        <f>E413+E412</f>
        <v>0</v>
      </c>
      <c r="F411" s="26">
        <f>F413+F412</f>
        <v>2196.8481299999999</v>
      </c>
      <c r="G411" s="87">
        <f>D411-F411</f>
        <v>44.151870000000145</v>
      </c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483.573</f>
        <v>483.57299999999998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118</v>
      </c>
      <c r="D414" s="10">
        <v>1120</v>
      </c>
      <c r="E414" s="26">
        <f>SUM(E415:E416)</f>
        <v>83.440290000000005</v>
      </c>
      <c r="F414" s="26">
        <f>SUM(F415:F416)</f>
        <v>775.49707999999998</v>
      </c>
      <c r="G414" s="87">
        <f>D414-F414</f>
        <v>344.50292000000002</v>
      </c>
      <c r="H414" s="26">
        <f>SUM(H415:H416)</f>
        <v>680.85955000000001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64.09339</f>
        <v>64.093389999999999</v>
      </c>
      <c r="F415" s="30">
        <f>588.99839</f>
        <v>588.99838999999997</v>
      </c>
      <c r="G415" s="99"/>
      <c r="H415" s="30">
        <f>525.39278</f>
        <v>525.39278000000002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19.3469</f>
        <v>19.346900000000002</v>
      </c>
      <c r="F416" s="30">
        <f>186.49869</f>
        <v>186.49869000000001</v>
      </c>
      <c r="G416" s="110"/>
      <c r="H416" s="30">
        <f>155.46677</f>
        <v>155.46677</v>
      </c>
      <c r="I416" s="152"/>
      <c r="J416" s="132"/>
    </row>
    <row r="417" spans="1:10" ht="14.1" customHeight="1" x14ac:dyDescent="0.25">
      <c r="A417" s="216"/>
      <c r="B417" s="74"/>
      <c r="C417" s="263" t="s">
        <v>119</v>
      </c>
      <c r="D417" s="10">
        <v>0</v>
      </c>
      <c r="E417" s="36">
        <f>SUM(E418:E419)</f>
        <v>0</v>
      </c>
      <c r="F417" s="36">
        <f>SUM(F418:F419)</f>
        <v>0</v>
      </c>
      <c r="G417" s="87">
        <f>D417-F417</f>
        <v>0</v>
      </c>
      <c r="H417" s="36">
        <f>SUM(H418:H419)</f>
        <v>0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0</f>
        <v>0</v>
      </c>
      <c r="F418" s="30">
        <f>0</f>
        <v>0</v>
      </c>
      <c r="G418" s="99"/>
      <c r="H418" s="30">
        <f>0</f>
        <v>0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0</f>
        <v>0</v>
      </c>
      <c r="F419" s="30">
        <f>0</f>
        <v>0</v>
      </c>
      <c r="G419" s="110"/>
      <c r="H419" s="30">
        <f>0</f>
        <v>0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>
        <f>D411+D414+D417</f>
        <v>3361</v>
      </c>
      <c r="E421" s="42">
        <f>E411+E414+E417+E420</f>
        <v>83.440290000000005</v>
      </c>
      <c r="F421" s="42">
        <f>F411+F414+F417+F420</f>
        <v>2972.34521</v>
      </c>
      <c r="G421" s="43">
        <f>SUM(G411:G420)</f>
        <v>388.65479000000016</v>
      </c>
      <c r="H421" s="42">
        <f>H411+H414+H417+H420</f>
        <v>2068.49188</v>
      </c>
      <c r="I421" s="27"/>
      <c r="J421" s="132"/>
    </row>
    <row r="422" spans="1:10" ht="14.1" customHeight="1" x14ac:dyDescent="0.25">
      <c r="A422" s="216"/>
      <c r="B422" s="74"/>
      <c r="C422" s="152"/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/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B2:J2"/>
    <mergeCell ref="B9:J9"/>
    <mergeCell ref="C11:D11"/>
    <mergeCell ref="E11:F11"/>
    <mergeCell ref="G11:H11"/>
    <mergeCell ref="C52:H52"/>
    <mergeCell ref="D55:D59"/>
    <mergeCell ref="G55:G59"/>
    <mergeCell ref="C81:D81"/>
    <mergeCell ref="E81:F81"/>
    <mergeCell ref="G81:H81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 scaleWithDoc="0" alignWithMargins="0">
    <oddHeader>&amp;LForeløpig statistikk&amp;CPr. uke 25&amp;R26.06.2023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2023-06-26T08:23:13Z</dcterms:modified>
</cp:coreProperties>
</file>