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F2A46274-AA44-4B42-9B80-23617C3A36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 s="1"/>
  <c r="G125" i="1"/>
  <c r="G124" i="1"/>
  <c r="G123" i="1"/>
  <c r="H345" i="1"/>
  <c r="F345" i="1"/>
  <c r="E345" i="1"/>
  <c r="D345" i="1"/>
  <c r="G344" i="1"/>
  <c r="G345" i="1" s="1"/>
  <c r="G343" i="1"/>
  <c r="E336" i="1"/>
  <c r="H324" i="1"/>
  <c r="D324" i="1"/>
  <c r="H323" i="1"/>
  <c r="F323" i="1"/>
  <c r="F324" i="1" s="1"/>
  <c r="E323" i="1"/>
  <c r="E324" i="1" s="1"/>
  <c r="H322" i="1"/>
  <c r="F322" i="1"/>
  <c r="G322" i="1" s="1"/>
  <c r="E322" i="1"/>
  <c r="E315" i="1"/>
  <c r="D304" i="1"/>
  <c r="H303" i="1"/>
  <c r="F303" i="1"/>
  <c r="G303" i="1" s="1"/>
  <c r="E303" i="1"/>
  <c r="H302" i="1"/>
  <c r="H300" i="1" s="1"/>
  <c r="F302" i="1"/>
  <c r="F300" i="1" s="1"/>
  <c r="G300" i="1" s="1"/>
  <c r="E302" i="1"/>
  <c r="H301" i="1"/>
  <c r="F301" i="1"/>
  <c r="E301" i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E294" i="1" s="1"/>
  <c r="E304" i="1" s="1"/>
  <c r="H294" i="1"/>
  <c r="D273" i="1"/>
  <c r="I272" i="1"/>
  <c r="G272" i="1"/>
  <c r="H272" i="1" s="1"/>
  <c r="F272" i="1"/>
  <c r="I271" i="1"/>
  <c r="H271" i="1"/>
  <c r="G271" i="1"/>
  <c r="F271" i="1"/>
  <c r="I270" i="1"/>
  <c r="G270" i="1"/>
  <c r="F270" i="1"/>
  <c r="F268" i="1" s="1"/>
  <c r="I269" i="1"/>
  <c r="G269" i="1"/>
  <c r="G268" i="1" s="1"/>
  <c r="H268" i="1" s="1"/>
  <c r="F269" i="1"/>
  <c r="I268" i="1"/>
  <c r="I267" i="1"/>
  <c r="G267" i="1"/>
  <c r="H267" i="1" s="1"/>
  <c r="F267" i="1"/>
  <c r="I266" i="1"/>
  <c r="G266" i="1"/>
  <c r="H266" i="1" s="1"/>
  <c r="F266" i="1"/>
  <c r="I265" i="1"/>
  <c r="G265" i="1"/>
  <c r="G262" i="1" s="1"/>
  <c r="F265" i="1"/>
  <c r="F262" i="1" s="1"/>
  <c r="I264" i="1"/>
  <c r="G264" i="1"/>
  <c r="H264" i="1" s="1"/>
  <c r="F264" i="1"/>
  <c r="I263" i="1"/>
  <c r="G263" i="1"/>
  <c r="H263" i="1" s="1"/>
  <c r="F263" i="1"/>
  <c r="I262" i="1"/>
  <c r="I273" i="1" s="1"/>
  <c r="E262" i="1"/>
  <c r="E273" i="1" s="1"/>
  <c r="D262" i="1"/>
  <c r="H254" i="1"/>
  <c r="F254" i="1"/>
  <c r="D251" i="1"/>
  <c r="D250" i="1"/>
  <c r="F241" i="1"/>
  <c r="D241" i="1"/>
  <c r="G241" i="1" s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D219" i="1"/>
  <c r="H218" i="1"/>
  <c r="F218" i="1"/>
  <c r="G218" i="1" s="1"/>
  <c r="E218" i="1"/>
  <c r="H217" i="1"/>
  <c r="F217" i="1"/>
  <c r="F215" i="1" s="1"/>
  <c r="E217" i="1"/>
  <c r="H216" i="1"/>
  <c r="F216" i="1"/>
  <c r="E216" i="1"/>
  <c r="E215" i="1" s="1"/>
  <c r="E219" i="1" s="1"/>
  <c r="H215" i="1"/>
  <c r="H219" i="1" s="1"/>
  <c r="D206" i="1"/>
  <c r="H205" i="1"/>
  <c r="F205" i="1"/>
  <c r="G205" i="1" s="1"/>
  <c r="E205" i="1"/>
  <c r="H204" i="1"/>
  <c r="F204" i="1"/>
  <c r="E204" i="1"/>
  <c r="E202" i="1" s="1"/>
  <c r="E206" i="1" s="1"/>
  <c r="H203" i="1"/>
  <c r="H202" i="1" s="1"/>
  <c r="H206" i="1" s="1"/>
  <c r="F203" i="1"/>
  <c r="F202" i="1" s="1"/>
  <c r="E203" i="1"/>
  <c r="I192" i="1"/>
  <c r="E192" i="1"/>
  <c r="D192" i="1"/>
  <c r="I191" i="1"/>
  <c r="G191" i="1"/>
  <c r="H191" i="1" s="1"/>
  <c r="F191" i="1"/>
  <c r="I190" i="1"/>
  <c r="G190" i="1"/>
  <c r="H190" i="1" s="1"/>
  <c r="F190" i="1"/>
  <c r="I189" i="1"/>
  <c r="G189" i="1"/>
  <c r="G192" i="1" s="1"/>
  <c r="H192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F163" i="1" s="1"/>
  <c r="G163" i="1" s="1"/>
  <c r="E166" i="1"/>
  <c r="H165" i="1"/>
  <c r="F165" i="1"/>
  <c r="E165" i="1"/>
  <c r="H164" i="1"/>
  <c r="F164" i="1"/>
  <c r="E164" i="1"/>
  <c r="E163" i="1" s="1"/>
  <c r="H163" i="1"/>
  <c r="H162" i="1"/>
  <c r="G162" i="1"/>
  <c r="F162" i="1"/>
  <c r="E162" i="1"/>
  <c r="H161" i="1"/>
  <c r="H169" i="1" s="1"/>
  <c r="F161" i="1"/>
  <c r="E161" i="1"/>
  <c r="E169" i="1" s="1"/>
  <c r="H160" i="1"/>
  <c r="F160" i="1"/>
  <c r="E160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G126" i="1" s="1"/>
  <c r="F128" i="1"/>
  <c r="I127" i="1"/>
  <c r="I126" i="1" s="1"/>
  <c r="G127" i="1"/>
  <c r="H127" i="1" s="1"/>
  <c r="F127" i="1"/>
  <c r="F126" i="1"/>
  <c r="F120" i="1" s="1"/>
  <c r="E126" i="1"/>
  <c r="D126" i="1"/>
  <c r="I125" i="1"/>
  <c r="H125" i="1"/>
  <c r="F125" i="1"/>
  <c r="I124" i="1"/>
  <c r="H124" i="1"/>
  <c r="F124" i="1"/>
  <c r="I123" i="1"/>
  <c r="H123" i="1"/>
  <c r="F123" i="1"/>
  <c r="I122" i="1"/>
  <c r="I121" i="1" s="1"/>
  <c r="I120" i="1" s="1"/>
  <c r="H122" i="1"/>
  <c r="G122" i="1"/>
  <c r="G121" i="1" s="1"/>
  <c r="F122" i="1"/>
  <c r="F121" i="1"/>
  <c r="E121" i="1"/>
  <c r="E120" i="1" s="1"/>
  <c r="D121" i="1"/>
  <c r="D120" i="1" s="1"/>
  <c r="I119" i="1"/>
  <c r="F119" i="1"/>
  <c r="I118" i="1"/>
  <c r="H118" i="1"/>
  <c r="G118" i="1"/>
  <c r="F118" i="1"/>
  <c r="I117" i="1"/>
  <c r="I115" i="1" s="1"/>
  <c r="H117" i="1"/>
  <c r="G117" i="1"/>
  <c r="F117" i="1"/>
  <c r="I116" i="1"/>
  <c r="H116" i="1"/>
  <c r="G116" i="1"/>
  <c r="F116" i="1"/>
  <c r="F115" i="1" s="1"/>
  <c r="F137" i="1" s="1"/>
  <c r="H115" i="1"/>
  <c r="G115" i="1"/>
  <c r="E115" i="1"/>
  <c r="D115" i="1"/>
  <c r="C113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I83" i="1" s="1"/>
  <c r="I82" i="1" s="1"/>
  <c r="H84" i="1"/>
  <c r="H83" i="1" s="1"/>
  <c r="H82" i="1" s="1"/>
  <c r="G84" i="1"/>
  <c r="F84" i="1"/>
  <c r="G83" i="1"/>
  <c r="F83" i="1"/>
  <c r="F82" i="1" s="1"/>
  <c r="E83" i="1"/>
  <c r="E82" i="1" s="1"/>
  <c r="D83" i="1"/>
  <c r="G82" i="1"/>
  <c r="D82" i="1"/>
  <c r="D94" i="1" s="1"/>
  <c r="I81" i="1"/>
  <c r="I79" i="1" s="1"/>
  <c r="I94" i="1" s="1"/>
  <c r="H81" i="1"/>
  <c r="G81" i="1"/>
  <c r="F81" i="1"/>
  <c r="F79" i="1" s="1"/>
  <c r="I80" i="1"/>
  <c r="G80" i="1"/>
  <c r="G79" i="1" s="1"/>
  <c r="G94" i="1" s="1"/>
  <c r="F80" i="1"/>
  <c r="E79" i="1"/>
  <c r="E94" i="1" s="1"/>
  <c r="D79" i="1"/>
  <c r="C76" i="1"/>
  <c r="H72" i="1"/>
  <c r="F72" i="1"/>
  <c r="D72" i="1"/>
  <c r="H58" i="1"/>
  <c r="H57" i="1"/>
  <c r="I52" i="1"/>
  <c r="I31" i="1" s="1"/>
  <c r="G52" i="1"/>
  <c r="G31" i="1" s="1"/>
  <c r="F52" i="1"/>
  <c r="F31" i="1" s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I33" i="1" s="1"/>
  <c r="G34" i="1"/>
  <c r="H34" i="1" s="1"/>
  <c r="F34" i="1"/>
  <c r="F33" i="1" s="1"/>
  <c r="E33" i="1"/>
  <c r="D33" i="1"/>
  <c r="I32" i="1"/>
  <c r="G32" i="1"/>
  <c r="H32" i="1" s="1"/>
  <c r="F32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H27" i="1"/>
  <c r="G27" i="1"/>
  <c r="F27" i="1"/>
  <c r="E26" i="1"/>
  <c r="E25" i="1" s="1"/>
  <c r="D26" i="1"/>
  <c r="D25" i="1"/>
  <c r="I24" i="1"/>
  <c r="I22" i="1" s="1"/>
  <c r="H24" i="1"/>
  <c r="G24" i="1"/>
  <c r="F24" i="1"/>
  <c r="I23" i="1"/>
  <c r="G23" i="1"/>
  <c r="G22" i="1" s="1"/>
  <c r="F23" i="1"/>
  <c r="F22" i="1" s="1"/>
  <c r="E22" i="1"/>
  <c r="E42" i="1" s="1"/>
  <c r="D22" i="1"/>
  <c r="D42" i="1" s="1"/>
  <c r="H16" i="1"/>
  <c r="F16" i="1"/>
  <c r="D16" i="1"/>
  <c r="H121" i="1" l="1"/>
  <c r="I26" i="1"/>
  <c r="I25" i="1" s="1"/>
  <c r="I42" i="1" s="1"/>
  <c r="G33" i="1"/>
  <c r="G215" i="1"/>
  <c r="F219" i="1"/>
  <c r="G202" i="1"/>
  <c r="F206" i="1"/>
  <c r="G206" i="1"/>
  <c r="H262" i="1"/>
  <c r="H273" i="1" s="1"/>
  <c r="H31" i="1"/>
  <c r="H26" i="1" s="1"/>
  <c r="G26" i="1"/>
  <c r="F169" i="1"/>
  <c r="I137" i="1"/>
  <c r="G219" i="1"/>
  <c r="G169" i="1"/>
  <c r="D137" i="1"/>
  <c r="G120" i="1"/>
  <c r="G137" i="1" s="1"/>
  <c r="F273" i="1"/>
  <c r="H304" i="1"/>
  <c r="G25" i="1"/>
  <c r="G42" i="1" s="1"/>
  <c r="F94" i="1"/>
  <c r="G294" i="1"/>
  <c r="F304" i="1"/>
  <c r="G304" i="1" s="1"/>
  <c r="F26" i="1"/>
  <c r="F25" i="1"/>
  <c r="F42" i="1" s="1"/>
  <c r="E137" i="1"/>
  <c r="G273" i="1"/>
  <c r="H33" i="1"/>
  <c r="H128" i="1"/>
  <c r="H126" i="1" s="1"/>
  <c r="H120" i="1" s="1"/>
  <c r="H137" i="1" s="1"/>
  <c r="H189" i="1"/>
  <c r="H265" i="1"/>
  <c r="G323" i="1"/>
  <c r="G324" i="1" s="1"/>
  <c r="H23" i="1"/>
  <c r="H22" i="1" s="1"/>
  <c r="H52" i="1"/>
  <c r="H80" i="1"/>
  <c r="H79" i="1" s="1"/>
  <c r="H94" i="1" s="1"/>
  <c r="G160" i="1"/>
  <c r="H25" i="1" l="1"/>
  <c r="H42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<sst xmlns="http://schemas.openxmlformats.org/spreadsheetml/2006/main" count="393" uniqueCount="167">
  <si>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</si>
  <si>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</si>
  <si>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</si>
  <si>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</si>
  <si>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</si>
  <si>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</si>
  <si>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</si>
  <si>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</si>
  <si>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</si>
  <si>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</si>
  <si>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</si>
  <si>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</si>
  <si>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</si>
  <si>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</si>
  <si>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</si>
  <si>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</si>
  <si>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</si>
  <si>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</si>
  <si>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</si>
  <si>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</si>
  <si>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</si>
  <si>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</si>
  <si>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</si>
  <si>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</si>
  <si>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</si>
  <si>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</si>
  <si>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</si>
  <si>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</si>
  <si>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</si>
  <si>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</si>
  <si>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</si>
  <si>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</si>
  <si>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</si>
  <si>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</si>
  <si>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</si>
  <si>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</si>
  <si>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</si>
  <si>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</si>
  <si>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</si>
  <si>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</si>
  <si>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</si>
  <si>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</si>
  <si>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</si>
  <si>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</si>
  <si>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</si>
  <si>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</si>
  <si>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</si>
  <si>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</si>
  <si>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</si>
  <si>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</si>
  <si>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</si>
  <si>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</si>
  <si>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</si>
  <si>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</si>
  <si>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</si>
  <si>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</si>
  <si>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</si>
  <si>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</si>
  <si>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</si>
  <si>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</si>
  <si>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</si>
  <si>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</si>
  <si>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</si>
  <si>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</si>
  <si>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</si>
  <si>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</si>
  <si>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</si>
  <si>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</si>
  <si>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</si>
  <si>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</si>
  <si>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</si>
  <si>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</si>
  <si>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</si>
  <si>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</si>
  <si>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</si>
  <si>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</si>
  <si>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</si>
  <si>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</si>
  <si>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</si>
  <si>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</si>
  <si>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</si>
  <si>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</si>
  <si>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</si>
  <si>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</si>
  <si>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</si>
  <si>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</si>
  <si>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</si>
  <si>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</si>
  <si>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</si>
  <si>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</si>
  <si>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</si>
  <si>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</si>
  <si>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</si>
  <si>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</si>
  <si>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</si>
  <si>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</si>
  <si>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</si>
  <si>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</si>
  <si>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</si>
  <si>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</si>
  <si>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</si>
  <si>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</si>
  <si>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</si>
  <si>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</si>
  <si>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</si>
  <si>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</si>
  <si>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</si>
  <si>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</si>
  <si>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</si>
  <si>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</si>
  <si>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</si>
  <si>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</si>
  <si>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</si>
  <si>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</si>
  <si>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</si>
  <si>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</si>
  <si>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</si>
  <si>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</si>
  <si>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</si>
  <si>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</si>
  <si>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</si>
  <si>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</si>
  <si>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</si>
  <si>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</si>
  <si>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</si>
  <si>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</si>
  <si>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</si>
  <si>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</si>
  <si>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</si>
  <si>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</si>
  <si>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</si>
  <si>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</si>
  <si>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</si>
  <si>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</si>
  <si>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</si>
  <si>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</si>
  <si>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</si>
  <si>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</si>
  <si>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</si>
  <si>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</si>
  <si>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</si>
  <si>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</si>
  <si>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</si>
  <si>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</si>
  <si>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</si>
  <si>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</si>
  <si>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</si>
  <si>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</si>
  <si>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</si>
  <si>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</si>
  <si>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</si>
  <si>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</si>
  <si>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</si>
  <si>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</si>
  <si>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</si>
  <si>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</si>
  <si>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</si>
  <si>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</si>
  <si>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</si>
  <si>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55 tonn, men det legges til grunn at hele avsetningen tas</t>
  </si>
  <si>
    <t>4 Registrert rekreasjonsfiske utgjør 416 tonn, men det legges til grunn at hele avsetningen tas</t>
  </si>
  <si>
    <t>3 Registrert rekreasjonsfiske utgjør 789 tonn, men det legges til grunn at hele avsetningen tas</t>
  </si>
  <si>
    <t>FANGST UKE 52</t>
  </si>
  <si>
    <t>FANGST T.O.M UKE 52</t>
  </si>
  <si>
    <t>RESTKVOTER UKE 52</t>
  </si>
  <si>
    <t>FANGST T.O.M UKE 52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</si>
  <si>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5 089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</si>
</sst>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28" zoomScale="112" zoomScaleNormal="55" zoomScaleSheetLayoutView="100" zoomScalePageLayoutView="85" workbookViewId="0">
      <selection activeCell="D143" sqref="D143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41587</v>
      </c>
      <c r="F22" s="27">
        <f t="shared" ref="F22:I22" si="0">F24+F23</f>
        <v>214.7655</v>
      </c>
      <c r="G22" s="27">
        <f t="shared" si="0"/>
        <v>37260.594429999997</v>
      </c>
      <c r="H22" s="10">
        <f t="shared" si="0"/>
        <v>4326.405569999999</v>
      </c>
      <c r="I22" s="10">
        <f t="shared" si="0"/>
        <v>55944.055800000002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40825</v>
      </c>
      <c r="F23" s="22">
        <f>214.7655</f>
        <v>214.7655</v>
      </c>
      <c r="G23" s="22">
        <f>36501.34588</f>
        <v>36501.345880000001</v>
      </c>
      <c r="H23" s="22">
        <f>E23-G23</f>
        <v>4323.6541199999992</v>
      </c>
      <c r="I23" s="22">
        <f>55283.56758</f>
        <v>55283.567580000003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762</v>
      </c>
      <c r="F24" s="165">
        <f>0</f>
        <v>0</v>
      </c>
      <c r="G24" s="22">
        <f>759.24855</f>
        <v>759.24855000000002</v>
      </c>
      <c r="H24" s="22">
        <f>E24-G24</f>
        <v>2.7514499999999771</v>
      </c>
      <c r="I24" s="22">
        <f>660.48822</f>
        <v>660.48821999999996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121732</v>
      </c>
      <c r="F25" s="27">
        <f t="shared" ref="F25:I25" si="1">F33+F32+F26</f>
        <v>93.031890000000004</v>
      </c>
      <c r="G25" s="10">
        <f t="shared" si="1"/>
        <v>119970.25736999999</v>
      </c>
      <c r="H25" s="10">
        <f t="shared" si="1"/>
        <v>1761.7426300000006</v>
      </c>
      <c r="I25" s="10">
        <f t="shared" si="1"/>
        <v>137061.08085999999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94863</v>
      </c>
      <c r="F26" s="129">
        <f>F27+F28+F29+F30+F31</f>
        <v>35.380160000000004</v>
      </c>
      <c r="G26" s="129">
        <f>G27+G28+G29+G30+G31</f>
        <v>92951.298949999997</v>
      </c>
      <c r="H26" s="129">
        <f t="shared" ref="H26:I26" si="2">H27+H28+H29+H30+H31</f>
        <v>1911.7010499999997</v>
      </c>
      <c r="I26" s="129">
        <f t="shared" si="2"/>
        <v>108287.67369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25143</v>
      </c>
      <c r="F27" s="209">
        <f>20.2022 - F53</f>
        <v>18.202200000000001</v>
      </c>
      <c r="G27" s="123">
        <f>26265.7253 - G53</f>
        <v>23450.725299999998</v>
      </c>
      <c r="H27" s="123">
        <f t="shared" ref="H27:H39" si="3">E27-G27</f>
        <v>1692.2747000000018</v>
      </c>
      <c r="I27" s="123">
        <f>28670.09195 - I53</f>
        <v>26451.091950000002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23988</v>
      </c>
      <c r="F28" s="123">
        <f>11.88 - F54</f>
        <v>9.8800000000000008</v>
      </c>
      <c r="G28" s="123">
        <f>26055.80629 - G54</f>
        <v>23336.80629</v>
      </c>
      <c r="H28" s="123">
        <f t="shared" si="3"/>
        <v>651.19370999999956</v>
      </c>
      <c r="I28" s="123">
        <f>31218.65687 - I54</f>
        <v>28627.656869999999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21861</v>
      </c>
      <c r="F29" s="123">
        <f>3.29796 - F55</f>
        <v>1.2979599999999998</v>
      </c>
      <c r="G29" s="123">
        <f>23985.03308 - G55</f>
        <v>22022.033080000001</v>
      </c>
      <c r="H29" s="123">
        <f t="shared" si="3"/>
        <v>-161.03308000000106</v>
      </c>
      <c r="I29" s="123">
        <f>27888.88306 - I55</f>
        <v>26343.88306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15640</v>
      </c>
      <c r="F30" s="123">
        <f>0 - F56</f>
        <v>0</v>
      </c>
      <c r="G30" s="123">
        <f>16644.73428 - G56</f>
        <v>15534.734280000001</v>
      </c>
      <c r="H30" s="123">
        <f t="shared" si="3"/>
        <v>105.26571999999942</v>
      </c>
      <c r="I30" s="123">
        <f>20510.04181 - I56</f>
        <v>19124.041809999999</v>
      </c>
      <c r="J30" s="63"/>
    </row>
    <row r="31" spans="1:10" ht="14.15" customHeight="1" x14ac:dyDescent="0.3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6</v>
      </c>
      <c r="G31" s="123">
        <f>G52</f>
        <v>8607</v>
      </c>
      <c r="H31" s="123">
        <f>E31-G31</f>
        <v>-376</v>
      </c>
      <c r="I31" s="123">
        <f>I52</f>
        <v>7741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12692</v>
      </c>
      <c r="E32" s="55">
        <v>13691</v>
      </c>
      <c r="F32" s="129">
        <f>40.1805</f>
        <v>40.180500000000002</v>
      </c>
      <c r="G32" s="129">
        <f>13765.93817</f>
        <v>13765.938169999999</v>
      </c>
      <c r="H32" s="129">
        <f t="shared" si="3"/>
        <v>-74.938169999999445</v>
      </c>
      <c r="I32" s="129">
        <f>15884.78237</f>
        <v>15884.782370000001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10834</v>
      </c>
      <c r="E33" s="55">
        <f>E34+E35</f>
        <v>13178</v>
      </c>
      <c r="F33" s="129">
        <f>F34+F35</f>
        <v>17.471229999999998</v>
      </c>
      <c r="G33" s="129">
        <f>G34+G35</f>
        <v>13253.02025</v>
      </c>
      <c r="H33" s="129">
        <f t="shared" si="3"/>
        <v>-75.020249999999578</v>
      </c>
      <c r="I33" s="129">
        <f>I34+I35</f>
        <v>12888.6248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9874</v>
      </c>
      <c r="E34" s="61">
        <v>12218</v>
      </c>
      <c r="F34" s="123">
        <f>23.47123 - F57 - F58</f>
        <v>17.471229999999998</v>
      </c>
      <c r="G34" s="129">
        <f>15607.02025 - G57 - G58</f>
        <v>11529.02025</v>
      </c>
      <c r="H34" s="123">
        <f t="shared" si="3"/>
        <v>688.97975000000042</v>
      </c>
      <c r="I34" s="123">
        <f>15842.6248 - I57 - I58</f>
        <v>11729.6248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0</v>
      </c>
      <c r="G35" s="67">
        <f>G57</f>
        <v>1724</v>
      </c>
      <c r="H35" s="67">
        <f t="shared" si="3"/>
        <v>-764</v>
      </c>
      <c r="I35" s="67">
        <f>I57</f>
        <v>1159</v>
      </c>
      <c r="J35" s="63"/>
    </row>
    <row r="36" spans="1:10" ht="15.75" customHeight="1" x14ac:dyDescent="0.3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33</v>
      </c>
      <c r="D37" s="140">
        <v>855</v>
      </c>
      <c r="E37" s="140">
        <v>855</v>
      </c>
      <c r="F37" s="95">
        <f>1.5</f>
        <v>1.5</v>
      </c>
      <c r="G37" s="95">
        <f>801.04101</f>
        <v>801.04101000000003</v>
      </c>
      <c r="H37" s="95">
        <f t="shared" si="3"/>
        <v>53.958989999999972</v>
      </c>
      <c r="I37" s="95">
        <f>547.72352</f>
        <v>547.72352000000001</v>
      </c>
      <c r="J37" s="267"/>
    </row>
    <row r="38" spans="1:10" ht="17.25" customHeight="1" x14ac:dyDescent="0.3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6</v>
      </c>
      <c r="G38" s="95">
        <f>G58</f>
        <v>2354</v>
      </c>
      <c r="H38" s="95">
        <f t="shared" si="3"/>
        <v>646</v>
      </c>
      <c r="I38" s="95">
        <f>I58</f>
        <v>2954</v>
      </c>
      <c r="J38" s="267"/>
    </row>
    <row r="39" spans="1:10" ht="17.25" customHeight="1" x14ac:dyDescent="0.35">
      <c r="A39" s="1"/>
      <c r="B39" s="277"/>
      <c r="C39" s="70" t="s">
        <v>35</v>
      </c>
      <c r="D39" s="140">
        <v>7000</v>
      </c>
      <c r="E39" s="140">
        <v>7000</v>
      </c>
      <c r="F39" s="95">
        <f>0.68621</f>
        <v>0.68620999999999999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37</v>
      </c>
      <c r="D40" s="140">
        <v>450</v>
      </c>
      <c r="E40" s="140">
        <v>450</v>
      </c>
      <c r="F40" s="95">
        <f>0</f>
        <v>0</v>
      </c>
      <c r="G40" s="95">
        <f>392.69483</f>
        <v>392.69483000000002</v>
      </c>
      <c r="H40" s="95">
        <f>E40-G40</f>
        <v>57.305169999999976</v>
      </c>
      <c r="I40" s="95">
        <f>379.41545</f>
        <v>379.41545000000002</v>
      </c>
      <c r="J40" s="267"/>
    </row>
    <row r="41" spans="1:10" ht="14.15" customHeight="1" x14ac:dyDescent="0.35">
      <c r="A41" s="1"/>
      <c r="B41" s="277"/>
      <c r="C41" s="70" t="s">
        <v>38</v>
      </c>
      <c r="D41" s="140"/>
      <c r="E41" s="136"/>
      <c r="F41" s="136">
        <f>0</f>
        <v>0</v>
      </c>
      <c r="G41" s="136">
        <f>220.27111</f>
        <v>220.27110999999999</v>
      </c>
      <c r="H41" s="136">
        <f t="shared" ref="H41" si="4">E41-G41</f>
        <v>-220.27110999999999</v>
      </c>
      <c r="I41" s="136">
        <f>173.82154</f>
        <v>173.82154</v>
      </c>
      <c r="J41" s="267"/>
    </row>
    <row r="42" spans="1:10" ht="16.5" customHeight="1" x14ac:dyDescent="0.3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175624</v>
      </c>
      <c r="F42" s="73">
        <f t="shared" ref="F42:I42" si="5">F22+F25+F36+F37+F38+F39+F40+F41</f>
        <v>315.98360000000002</v>
      </c>
      <c r="G42" s="73">
        <f t="shared" si="5"/>
        <v>168279.11515</v>
      </c>
      <c r="H42" s="73">
        <f t="shared" si="5"/>
        <v>7344.8848499999995</v>
      </c>
      <c r="I42" s="73">
        <f t="shared" si="5"/>
        <v>204408.45837000001</v>
      </c>
      <c r="J42" s="267"/>
    </row>
    <row r="43" spans="1:10" ht="14.15" customHeight="1" x14ac:dyDescent="0.3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6</v>
      </c>
      <c r="G52" s="10">
        <f>G56+G55+G54+G53</f>
        <v>8607</v>
      </c>
      <c r="H52" s="329">
        <f>E52-G52</f>
        <v>-376</v>
      </c>
      <c r="I52" s="10">
        <f>I56+I55+I54+I53</f>
        <v>7741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>
        <v>2</v>
      </c>
      <c r="G53" s="123">
        <v>2815</v>
      </c>
      <c r="H53" s="330"/>
      <c r="I53" s="123">
        <v>2219</v>
      </c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>
        <v>2</v>
      </c>
      <c r="G54" s="123">
        <v>2719</v>
      </c>
      <c r="H54" s="330"/>
      <c r="I54" s="123">
        <v>2591</v>
      </c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>
        <v>2</v>
      </c>
      <c r="G55" s="123">
        <v>1963</v>
      </c>
      <c r="H55" s="330"/>
      <c r="I55" s="123">
        <v>1545</v>
      </c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>
        <v>0</v>
      </c>
      <c r="G56" s="186">
        <v>1110</v>
      </c>
      <c r="H56" s="331"/>
      <c r="I56" s="186">
        <v>1386</v>
      </c>
      <c r="J56" s="117"/>
    </row>
    <row r="57" spans="1:10" ht="14.15" customHeight="1" x14ac:dyDescent="0.35">
      <c r="A57" s="101"/>
      <c r="B57" s="24"/>
      <c r="C57" s="85" t="s">
        <v>43</v>
      </c>
      <c r="D57" s="92">
        <v>960</v>
      </c>
      <c r="E57" s="92">
        <v>960</v>
      </c>
      <c r="F57" s="92">
        <v>0</v>
      </c>
      <c r="G57" s="92">
        <v>1724</v>
      </c>
      <c r="H57" s="92">
        <f>E57-G57</f>
        <v>-764</v>
      </c>
      <c r="I57" s="92">
        <v>1159</v>
      </c>
      <c r="J57" s="267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6</v>
      </c>
      <c r="G58" s="136">
        <v>2354</v>
      </c>
      <c r="H58" s="136">
        <f>E58-G58</f>
        <v>646</v>
      </c>
      <c r="I58" s="136">
        <v>2954</v>
      </c>
      <c r="J58" s="117"/>
    </row>
    <row r="59" spans="1:10" ht="14.15" customHeight="1" x14ac:dyDescent="0.3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26122</v>
      </c>
      <c r="F79" s="10">
        <f t="shared" ref="F79:I79" si="6">F81+F80</f>
        <v>23.7286</v>
      </c>
      <c r="G79" s="10">
        <f t="shared" si="6"/>
        <v>25168.021650000002</v>
      </c>
      <c r="H79" s="10">
        <f t="shared" si="6"/>
        <v>953.97834999999884</v>
      </c>
      <c r="I79" s="10">
        <f t="shared" si="6"/>
        <v>25617.351719999999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25297</v>
      </c>
      <c r="F80" s="22">
        <f>23.7286</f>
        <v>23.7286</v>
      </c>
      <c r="G80" s="22">
        <f>24337.35724</f>
        <v>24337.357240000001</v>
      </c>
      <c r="H80" s="22">
        <f>E80-G80</f>
        <v>959.64275999999882</v>
      </c>
      <c r="I80" s="22">
        <f>24803.53557</f>
        <v>24803.53557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830.66441</f>
        <v>830.66440999999998</v>
      </c>
      <c r="H81" s="48">
        <f>E81-G81</f>
        <v>-5.6644099999999753</v>
      </c>
      <c r="I81" s="48">
        <f>813.81615</f>
        <v>813.81614999999999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44110</v>
      </c>
      <c r="F82" s="10">
        <f t="shared" ref="F82:I82" si="7">F83+F88+F89</f>
        <v>13.233460000000001</v>
      </c>
      <c r="G82" s="10">
        <f t="shared" si="7"/>
        <v>40312.736810000002</v>
      </c>
      <c r="H82" s="10">
        <f t="shared" si="7"/>
        <v>3797.2631900000001</v>
      </c>
      <c r="I82" s="10">
        <f t="shared" si="7"/>
        <v>44844.705779999997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32486</v>
      </c>
      <c r="F83" s="129">
        <f t="shared" ref="F83:I83" si="8">F84+F85+F86+F87</f>
        <v>4.5259</v>
      </c>
      <c r="G83" s="129">
        <f t="shared" si="8"/>
        <v>30419.733950000002</v>
      </c>
      <c r="H83" s="129">
        <f t="shared" si="8"/>
        <v>2066.2660500000002</v>
      </c>
      <c r="I83" s="129">
        <f t="shared" si="8"/>
        <v>34932.07516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2.78226</f>
        <v>2.78226</v>
      </c>
      <c r="G84" s="123">
        <f>5273.74629</f>
        <v>5273.74629</v>
      </c>
      <c r="H84" s="123">
        <f t="shared" ref="H84:H91" si="9">E84-G84</f>
        <v>3730.25371</v>
      </c>
      <c r="I84" s="123">
        <f>6327.97279</f>
        <v>6327.9727899999998</v>
      </c>
      <c r="J84" s="267"/>
    </row>
    <row r="85" spans="1:10" ht="14.15" customHeight="1" x14ac:dyDescent="0.35">
      <c r="A85" s="192"/>
      <c r="B85" s="176"/>
      <c r="C85" s="60" t="s">
        <v>48</v>
      </c>
      <c r="D85" s="61">
        <v>8674</v>
      </c>
      <c r="E85" s="61">
        <v>9068</v>
      </c>
      <c r="F85" s="123">
        <f>0.08208</f>
        <v>8.208E-2</v>
      </c>
      <c r="G85" s="123">
        <f>7994.89606</f>
        <v>7994.89606</v>
      </c>
      <c r="H85" s="123">
        <f t="shared" si="9"/>
        <v>1073.10394</v>
      </c>
      <c r="I85" s="123">
        <f>11042.3016</f>
        <v>11042.301600000001</v>
      </c>
      <c r="J85" s="267"/>
    </row>
    <row r="86" spans="1:10" ht="14.15" customHeight="1" x14ac:dyDescent="0.35">
      <c r="A86" s="192"/>
      <c r="B86" s="176"/>
      <c r="C86" s="60" t="s">
        <v>49</v>
      </c>
      <c r="D86" s="61">
        <v>8266</v>
      </c>
      <c r="E86" s="61">
        <v>8642</v>
      </c>
      <c r="F86" s="123">
        <f>1.66156</f>
        <v>1.6615599999999999</v>
      </c>
      <c r="G86" s="123">
        <f>8911.57498</f>
        <v>8911.5749799999994</v>
      </c>
      <c r="H86" s="123">
        <f t="shared" si="9"/>
        <v>-269.57497999999941</v>
      </c>
      <c r="I86" s="123">
        <f>10439.48258</f>
        <v>10439.48258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5772</v>
      </c>
      <c r="F87" s="123">
        <f>0</f>
        <v>0</v>
      </c>
      <c r="G87" s="123">
        <f>8239.51662</f>
        <v>8239.5166200000003</v>
      </c>
      <c r="H87" s="123">
        <f t="shared" si="9"/>
        <v>-2467.5166200000003</v>
      </c>
      <c r="I87" s="123">
        <f>7122.31819</f>
        <v>7122.31819</v>
      </c>
      <c r="J87" s="267"/>
    </row>
    <row r="88" spans="1:10" ht="14.15" customHeight="1" x14ac:dyDescent="0.35">
      <c r="A88" s="192"/>
      <c r="B88" s="176"/>
      <c r="C88" s="54" t="s">
        <v>50</v>
      </c>
      <c r="D88" s="55">
        <v>7333</v>
      </c>
      <c r="E88" s="55">
        <v>8117</v>
      </c>
      <c r="F88" s="129">
        <f>0.0112</f>
        <v>1.12E-2</v>
      </c>
      <c r="G88" s="129">
        <f>7095.17968</f>
        <v>7095.1796800000002</v>
      </c>
      <c r="H88" s="129">
        <f t="shared" si="9"/>
        <v>1021.8203199999998</v>
      </c>
      <c r="I88" s="129">
        <f>7015.24868</f>
        <v>7015.2486799999997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8.69636</f>
        <v>8.6963600000000003</v>
      </c>
      <c r="G89" s="72">
        <f>2797.82318</f>
        <v>2797.8231799999999</v>
      </c>
      <c r="H89" s="72">
        <f t="shared" si="9"/>
        <v>709.17682000000013</v>
      </c>
      <c r="I89" s="72">
        <f>2897.38194</f>
        <v>2897.3819400000002</v>
      </c>
      <c r="J89" s="267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45.01235</f>
        <v>45.012349999999998</v>
      </c>
      <c r="H90" s="95">
        <f t="shared" si="9"/>
        <v>273.98765000000003</v>
      </c>
      <c r="I90" s="95">
        <f>39.06244</f>
        <v>39.062440000000002</v>
      </c>
      <c r="J90" s="267"/>
    </row>
    <row r="91" spans="1:10" ht="18" customHeight="1" x14ac:dyDescent="0.35">
      <c r="A91" s="1"/>
      <c r="B91" s="277"/>
      <c r="C91" s="70" t="s">
        <v>51</v>
      </c>
      <c r="D91" s="140">
        <v>300</v>
      </c>
      <c r="E91" s="140">
        <v>300</v>
      </c>
      <c r="F91" s="136">
        <f>0.00855</f>
        <v>8.5500000000000003E-3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37</v>
      </c>
      <c r="D92" s="140">
        <v>50</v>
      </c>
      <c r="E92" s="140">
        <v>50</v>
      </c>
      <c r="F92" s="95">
        <f>0</f>
        <v>0</v>
      </c>
      <c r="G92" s="95">
        <f>15.53762</f>
        <v>15.53762</v>
      </c>
      <c r="H92" s="136">
        <f>E92-G92</f>
        <v>34.462379999999996</v>
      </c>
      <c r="I92" s="95">
        <f>57.99216</f>
        <v>57.992159999999998</v>
      </c>
      <c r="J92" s="267"/>
    </row>
    <row r="93" spans="1:10" ht="18" customHeight="1" x14ac:dyDescent="0.35">
      <c r="A93" s="1"/>
      <c r="B93" s="277"/>
      <c r="C93" s="89" t="s">
        <v>52</v>
      </c>
      <c r="D93" s="140"/>
      <c r="E93" s="136"/>
      <c r="F93" s="136">
        <f>0</f>
        <v>0</v>
      </c>
      <c r="G93" s="136">
        <f>40.83824</f>
        <v>40.838239999999999</v>
      </c>
      <c r="H93" s="136">
        <f t="shared" ref="H93" si="10">E93-G93</f>
        <v>-40.838239999999999</v>
      </c>
      <c r="I93" s="136">
        <f>172.94728</f>
        <v>172.94728000000001</v>
      </c>
      <c r="J93" s="267"/>
    </row>
    <row r="94" spans="1:10" ht="16.5" customHeight="1" x14ac:dyDescent="0.3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70901</v>
      </c>
      <c r="F94" s="73">
        <f t="shared" ref="F94:I94" si="12">F79+F82+F90+F91+F92+F93</f>
        <v>36.970610000000001</v>
      </c>
      <c r="G94" s="73">
        <f t="shared" si="12"/>
        <v>65882.146670000002</v>
      </c>
      <c r="H94" s="73">
        <f t="shared" si="12"/>
        <v>5018.853329999999</v>
      </c>
      <c r="I94" s="73">
        <f t="shared" si="12"/>
        <v>71032.059379999977</v>
      </c>
      <c r="J94" s="267"/>
    </row>
    <row r="95" spans="1:10" ht="13.5" customHeight="1" x14ac:dyDescent="0.3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3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13.302899999999999</v>
      </c>
      <c r="G115" s="10">
        <f t="shared" si="13"/>
        <v>49751.937989999999</v>
      </c>
      <c r="H115" s="10">
        <f t="shared" si="13"/>
        <v>21263.062010000001</v>
      </c>
      <c r="I115" s="10">
        <f t="shared" si="13"/>
        <v>68670.720079999999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13.3029</f>
        <v>13.302899999999999</v>
      </c>
      <c r="G116" s="22">
        <f>44039.36696</f>
        <v>44039.366959999999</v>
      </c>
      <c r="H116" s="22">
        <f>E116-G116</f>
        <v>12410.633040000001</v>
      </c>
      <c r="I116" s="22">
        <f>61451.66351</f>
        <v>61451.663509999998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5623.49043</f>
        <v>5623.4904299999998</v>
      </c>
      <c r="H117" s="22">
        <f>E117-G117</f>
        <v>8441.5095700000002</v>
      </c>
      <c r="I117" s="22">
        <f>7142.54242</f>
        <v>7142.5424199999998</v>
      </c>
      <c r="J117" s="267"/>
    </row>
    <row r="118" spans="1:10" ht="13.5" customHeight="1" x14ac:dyDescent="0.3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89.0806</f>
        <v>89.080600000000004</v>
      </c>
      <c r="H118" s="53">
        <f>E118-G118</f>
        <v>410.9194</v>
      </c>
      <c r="I118" s="22">
        <f>76.51415</f>
        <v>76.514150000000001</v>
      </c>
      <c r="J118" s="267"/>
    </row>
    <row r="119" spans="1:10" ht="14.25" customHeight="1" x14ac:dyDescent="0.35">
      <c r="A119" s="65"/>
      <c r="B119" s="75"/>
      <c r="C119" s="85" t="s">
        <v>61</v>
      </c>
      <c r="D119" s="87">
        <v>43775</v>
      </c>
      <c r="E119" s="87">
        <v>51430</v>
      </c>
      <c r="F119" s="92">
        <f>0</f>
        <v>0</v>
      </c>
      <c r="G119" s="92">
        <f>30209.0557+5089.2556</f>
        <v>35298.311300000001</v>
      </c>
      <c r="H119" s="92">
        <f>E119-G119</f>
        <v>16131.688699999999</v>
      </c>
      <c r="I119" s="92">
        <f>16582.5778</f>
        <v>16582.577799999999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28.306520000000003</v>
      </c>
      <c r="G120" s="91">
        <f t="shared" ref="G120" si="14">G121+G126+G129</f>
        <v>52565.405860000006</v>
      </c>
      <c r="H120" s="91">
        <f>H121+H126+H129</f>
        <v>22479.594139999997</v>
      </c>
      <c r="I120" s="91">
        <f>I121+I126+I129</f>
        <v>81456.809399999998</v>
      </c>
      <c r="J120" s="117"/>
    </row>
    <row r="121" spans="1:10" ht="14.15" customHeight="1" x14ac:dyDescent="0.3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23.804850000000002</v>
      </c>
      <c r="G121" s="121">
        <f>G122+G123+G125+G124</f>
        <v>39615.001230000002</v>
      </c>
      <c r="H121" s="121">
        <f>H122+H123+H124+H125</f>
        <v>16743.998769999998</v>
      </c>
      <c r="I121" s="121">
        <f>I122+I123+I124+I125</f>
        <v>63670.195719999996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1.41495</f>
        <v>1.4149499999999999</v>
      </c>
      <c r="G122" s="123">
        <f>10144.14348</f>
        <v>10144.143480000001</v>
      </c>
      <c r="H122" s="123">
        <f>E122-G122</f>
        <v>5871.8565199999994</v>
      </c>
      <c r="I122" s="123">
        <f>12510.52246</f>
        <v>12510.52246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14094</v>
      </c>
      <c r="E123" s="61">
        <v>14854</v>
      </c>
      <c r="F123" s="123">
        <f>0.253</f>
        <v>0.253</v>
      </c>
      <c r="G123" s="123">
        <f>11617.45482-282.9332</f>
        <v>11334.521620000001</v>
      </c>
      <c r="H123" s="123">
        <f>E123-G123</f>
        <v>3519.4783799999987</v>
      </c>
      <c r="I123" s="123">
        <f>16647.19695</f>
        <v>16647.196950000001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12169</v>
      </c>
      <c r="E124" s="61">
        <v>12872</v>
      </c>
      <c r="F124" s="123">
        <f>22.1369</f>
        <v>22.136900000000001</v>
      </c>
      <c r="G124" s="123">
        <f>10751.91269-1071.7275</f>
        <v>9680.1851900000001</v>
      </c>
      <c r="H124" s="123">
        <f>E124-G124</f>
        <v>3191.8148099999999</v>
      </c>
      <c r="I124" s="123">
        <f>17296.23321</f>
        <v>17296.233209999999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0</f>
        <v>0</v>
      </c>
      <c r="G125" s="123">
        <f>12190.74584-3734.5949</f>
        <v>8456.1509399999995</v>
      </c>
      <c r="H125" s="123">
        <f>E125-G125</f>
        <v>4160.8490600000005</v>
      </c>
      <c r="I125" s="123">
        <f>17216.2431</f>
        <v>17216.2431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1.39185</v>
      </c>
      <c r="G126" s="129">
        <f>SUM(G127:G128)</f>
        <v>6577.1714499999998</v>
      </c>
      <c r="H126" s="129">
        <f>H127+H128</f>
        <v>1164.82855</v>
      </c>
      <c r="I126" s="129">
        <f>SUM(I127:I128)</f>
        <v>10792.285</v>
      </c>
      <c r="J126" s="130"/>
    </row>
    <row r="127" spans="1:10" ht="14.15" customHeight="1" x14ac:dyDescent="0.35">
      <c r="A127" s="1"/>
      <c r="B127" s="277"/>
      <c r="C127" s="60" t="s">
        <v>63</v>
      </c>
      <c r="D127" s="61">
        <v>6819</v>
      </c>
      <c r="E127" s="61">
        <v>7242</v>
      </c>
      <c r="F127" s="123">
        <f>0</f>
        <v>0</v>
      </c>
      <c r="G127" s="123">
        <f>6360.11848</f>
        <v>6360.1184800000001</v>
      </c>
      <c r="H127" s="123">
        <f t="shared" ref="H127:H135" si="15">E127-G127</f>
        <v>881.88151999999991</v>
      </c>
      <c r="I127" s="123">
        <f>10289.89146</f>
        <v>10289.891460000001</v>
      </c>
      <c r="J127" s="117"/>
    </row>
    <row r="128" spans="1:10" ht="15" customHeight="1" x14ac:dyDescent="0.35">
      <c r="A128" s="1"/>
      <c r="B128" s="51"/>
      <c r="C128" s="60" t="s">
        <v>64</v>
      </c>
      <c r="D128" s="61">
        <v>500</v>
      </c>
      <c r="E128" s="61">
        <v>500</v>
      </c>
      <c r="F128" s="123">
        <f>1.39185</f>
        <v>1.39185</v>
      </c>
      <c r="G128" s="123">
        <f>217.05297</f>
        <v>217.05296999999999</v>
      </c>
      <c r="H128" s="123">
        <f t="shared" si="15"/>
        <v>282.94703000000004</v>
      </c>
      <c r="I128" s="123">
        <f>502.39354</f>
        <v>502.39353999999997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3.10982</f>
        <v>3.10982</v>
      </c>
      <c r="G129" s="72">
        <f>6373.23318</f>
        <v>6373.2331800000002</v>
      </c>
      <c r="H129" s="72">
        <f t="shared" si="15"/>
        <v>4570.7668199999998</v>
      </c>
      <c r="I129" s="72">
        <f>6994.32868</f>
        <v>6994.3286799999996</v>
      </c>
      <c r="J129" s="117"/>
    </row>
    <row r="130" spans="1:10" ht="15.75" customHeight="1" x14ac:dyDescent="0.35">
      <c r="A130" s="1"/>
      <c r="B130" s="277"/>
      <c r="C130" s="139" t="s">
        <v>33</v>
      </c>
      <c r="D130" s="140">
        <v>146</v>
      </c>
      <c r="E130" s="140">
        <v>146</v>
      </c>
      <c r="F130" s="136">
        <f>0</f>
        <v>0</v>
      </c>
      <c r="G130" s="136">
        <f>25.49376</f>
        <v>25.493760000000002</v>
      </c>
      <c r="H130" s="136">
        <f t="shared" si="15"/>
        <v>120.50623999999999</v>
      </c>
      <c r="I130" s="136">
        <f>17.64483</f>
        <v>17.644829999999999</v>
      </c>
      <c r="J130" s="117"/>
    </row>
    <row r="131" spans="1:10" ht="15.75" customHeight="1" x14ac:dyDescent="0.3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1.368</f>
        <v>1.3680000000000001</v>
      </c>
      <c r="H131" s="95">
        <f t="shared" si="15"/>
        <v>348.63200000000001</v>
      </c>
      <c r="I131" s="95">
        <f>256.036</f>
        <v>256.036</v>
      </c>
      <c r="J131" s="117"/>
    </row>
    <row r="132" spans="1:10" ht="18" customHeight="1" x14ac:dyDescent="0.35">
      <c r="A132" s="1"/>
      <c r="B132" s="277"/>
      <c r="C132" s="137" t="s">
        <v>66</v>
      </c>
      <c r="D132" s="140">
        <v>2000</v>
      </c>
      <c r="E132" s="140">
        <v>2000</v>
      </c>
      <c r="F132" s="136">
        <f>0.04455</f>
        <v>4.4549999999999999E-2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67</v>
      </c>
      <c r="D134" s="140">
        <v>313</v>
      </c>
      <c r="E134" s="140">
        <v>313</v>
      </c>
      <c r="F134" s="95">
        <f>0</f>
        <v>0</v>
      </c>
      <c r="G134" s="95">
        <f>94.46888</f>
        <v>94.468879999999999</v>
      </c>
      <c r="H134" s="136">
        <f t="shared" si="15"/>
        <v>218.53111999999999</v>
      </c>
      <c r="I134" s="95">
        <f>92.62376</f>
        <v>92.623760000000004</v>
      </c>
      <c r="J134" s="117"/>
    </row>
    <row r="135" spans="1:10" ht="15" customHeight="1" x14ac:dyDescent="0.35">
      <c r="A135" s="1"/>
      <c r="B135" s="277"/>
      <c r="C135" s="139" t="s">
        <v>38</v>
      </c>
      <c r="D135" s="142"/>
      <c r="E135" s="140"/>
      <c r="F135" s="136">
        <f>0</f>
        <v>0</v>
      </c>
      <c r="G135" s="136">
        <f>278.33759</f>
        <v>278.33758999999998</v>
      </c>
      <c r="H135" s="136">
        <f t="shared" si="15"/>
        <v>-278.33758999999998</v>
      </c>
      <c r="I135" s="136">
        <f>300.98824</f>
        <v>300.98824000000002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41.653970000000001</v>
      </c>
      <c r="G137" s="73">
        <f>G115+G119+G120+G130+G131+G132+G133+G134+G135</f>
        <v>140015.32338000002</v>
      </c>
      <c r="H137" s="73">
        <f>H115+H119+H120+H130+H131+H132+H133+H134+H135</f>
        <v>60283.676619999991</v>
      </c>
      <c r="I137" s="73">
        <f>I115+I119+I120+I130+I131+I132+I133+I134+I135</f>
        <v>169377.40010999999</v>
      </c>
      <c r="J137" s="155"/>
    </row>
    <row r="138" spans="1:10" ht="14.25" customHeight="1" x14ac:dyDescent="0.3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333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71</v>
      </c>
      <c r="D160" s="91">
        <v>3762</v>
      </c>
      <c r="E160" s="297">
        <f>12.11216</f>
        <v>12.112159999999999</v>
      </c>
      <c r="F160" s="297">
        <f>2020.67958</f>
        <v>2020.67958</v>
      </c>
      <c r="G160" s="42">
        <f>D160-F160-F161</f>
        <v>200.43598999999995</v>
      </c>
      <c r="H160" s="297">
        <f>2174.37418</f>
        <v>2174.3741799999998</v>
      </c>
      <c r="I160" s="1"/>
      <c r="J160" s="117"/>
    </row>
    <row r="161" spans="1:10" ht="14.15" customHeight="1" x14ac:dyDescent="0.35">
      <c r="A161" s="1"/>
      <c r="B161" s="277"/>
      <c r="C161" s="133" t="s">
        <v>50</v>
      </c>
      <c r="D161" s="175"/>
      <c r="E161" s="148">
        <f>0</f>
        <v>0</v>
      </c>
      <c r="F161" s="148">
        <f>1540.88443</f>
        <v>1540.8844300000001</v>
      </c>
      <c r="G161" s="219"/>
      <c r="H161" s="148">
        <f>1715.97261</f>
        <v>1715.97261</v>
      </c>
      <c r="I161" s="1"/>
      <c r="J161" s="117"/>
    </row>
    <row r="162" spans="1:10" ht="15.65" customHeight="1" x14ac:dyDescent="0.35">
      <c r="A162" s="1"/>
      <c r="B162" s="277"/>
      <c r="C162" s="163" t="s">
        <v>72</v>
      </c>
      <c r="D162" s="95">
        <v>200</v>
      </c>
      <c r="E162" s="166">
        <f>0</f>
        <v>0</v>
      </c>
      <c r="F162" s="166">
        <f>102.27759</f>
        <v>102.27759</v>
      </c>
      <c r="G162" s="166">
        <f>D162-F162</f>
        <v>97.722409999999996</v>
      </c>
      <c r="H162" s="166">
        <f>128.70179</f>
        <v>128.70178999999999</v>
      </c>
      <c r="I162" s="1"/>
      <c r="J162" s="117"/>
    </row>
    <row r="163" spans="1:10" ht="14.15" customHeight="1" x14ac:dyDescent="0.35">
      <c r="A163" s="65"/>
      <c r="B163" s="75"/>
      <c r="C163" s="174" t="s">
        <v>73</v>
      </c>
      <c r="D163" s="175">
        <v>5642</v>
      </c>
      <c r="E163" s="175">
        <f>E164+E165+E166</f>
        <v>0</v>
      </c>
      <c r="F163" s="175">
        <f>F164+F165+F166</f>
        <v>5513.38465</v>
      </c>
      <c r="G163" s="175">
        <f>D163-F163</f>
        <v>128.61535000000003</v>
      </c>
      <c r="H163" s="175">
        <f>H164+H165+H166</f>
        <v>6002.76854</v>
      </c>
      <c r="I163" s="65"/>
      <c r="J163" s="111"/>
    </row>
    <row r="164" spans="1:10" ht="14.15" customHeight="1" x14ac:dyDescent="0.35">
      <c r="A164" s="192"/>
      <c r="B164" s="176"/>
      <c r="C164" s="177" t="s">
        <v>74</v>
      </c>
      <c r="D164" s="123"/>
      <c r="E164" s="123">
        <f>0</f>
        <v>0</v>
      </c>
      <c r="F164" s="123">
        <f>3088.26549</f>
        <v>3088.2654900000002</v>
      </c>
      <c r="G164" s="123"/>
      <c r="H164" s="123">
        <f>3093.5773</f>
        <v>3093.5772999999999</v>
      </c>
      <c r="I164" s="181"/>
      <c r="J164" s="126"/>
    </row>
    <row r="165" spans="1:10" ht="14.15" customHeight="1" x14ac:dyDescent="0.35">
      <c r="A165" s="192"/>
      <c r="B165" s="176"/>
      <c r="C165" s="177" t="s">
        <v>75</v>
      </c>
      <c r="D165" s="123"/>
      <c r="E165" s="123">
        <f>0</f>
        <v>0</v>
      </c>
      <c r="F165" s="123">
        <f>1609.889</f>
        <v>1609.8889999999999</v>
      </c>
      <c r="G165" s="123"/>
      <c r="H165" s="123">
        <f>1834.87423</f>
        <v>1834.8742299999999</v>
      </c>
      <c r="I165" s="181"/>
      <c r="J165" s="182"/>
    </row>
    <row r="166" spans="1:10" ht="14.15" customHeight="1" x14ac:dyDescent="0.35">
      <c r="A166" s="192"/>
      <c r="B166" s="176"/>
      <c r="C166" s="183" t="s">
        <v>76</v>
      </c>
      <c r="D166" s="186"/>
      <c r="E166" s="186">
        <f>0</f>
        <v>0</v>
      </c>
      <c r="F166" s="186">
        <f>815.23016</f>
        <v>815.23015999999996</v>
      </c>
      <c r="G166" s="186"/>
      <c r="H166" s="186">
        <f>1074.31701</f>
        <v>1074.31701</v>
      </c>
      <c r="I166" s="181"/>
      <c r="J166" s="182"/>
    </row>
    <row r="167" spans="1:10" ht="14.15" customHeight="1" x14ac:dyDescent="0.3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5.4845</f>
        <v>5.4844999999999997</v>
      </c>
      <c r="G167" s="136">
        <f>D167-F167</f>
        <v>65.515500000000003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12.112159999999999</v>
      </c>
      <c r="F169" s="188">
        <f>F160+F161+F162+F163+F167+F168</f>
        <v>9182.7107500000002</v>
      </c>
      <c r="G169" s="188">
        <f>D169-F169</f>
        <v>492.28924999999981</v>
      </c>
      <c r="H169" s="188">
        <f>H160+H161+H162+H163+H167+H168</f>
        <v>10021.81712</v>
      </c>
      <c r="I169" s="159"/>
      <c r="J169" s="155"/>
    </row>
    <row r="170" spans="1:10" ht="42" customHeight="1" x14ac:dyDescent="0.3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35.68748</f>
        <v>35.687480000000001</v>
      </c>
      <c r="G189" s="124">
        <f>45962.62642</f>
        <v>45962.626420000001</v>
      </c>
      <c r="H189" s="124">
        <f>E189-G189</f>
        <v>-2627.6264200000005</v>
      </c>
      <c r="I189" s="124">
        <f>44839.11207</f>
        <v>44839.112070000003</v>
      </c>
      <c r="J189" s="117"/>
    </row>
    <row r="190" spans="1:10" ht="15" customHeight="1" x14ac:dyDescent="0.35">
      <c r="A190" s="1"/>
      <c r="B190" s="277"/>
      <c r="C190" s="90" t="s">
        <v>64</v>
      </c>
      <c r="D190" s="124">
        <v>100</v>
      </c>
      <c r="E190" s="124">
        <v>100</v>
      </c>
      <c r="F190" s="124">
        <f>0.0045</f>
        <v>4.4999999999999997E-3</v>
      </c>
      <c r="G190" s="124">
        <f>50.7756</f>
        <v>50.775599999999997</v>
      </c>
      <c r="H190" s="124">
        <f>E190-G190</f>
        <v>49.224400000000003</v>
      </c>
      <c r="I190" s="124">
        <f>44.77344</f>
        <v>44.773440000000001</v>
      </c>
      <c r="J190" s="117"/>
    </row>
    <row r="191" spans="1:10" ht="15.75" customHeight="1" x14ac:dyDescent="0.3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35.691980000000001</v>
      </c>
      <c r="G192" s="190">
        <f>SUM(G189:G191)</f>
        <v>46013.402020000001</v>
      </c>
      <c r="H192" s="190">
        <f>E192-G192</f>
        <v>-2542.4020200000014</v>
      </c>
      <c r="I192" s="190">
        <f>SUM(I189:I191)</f>
        <v>44883.88551</v>
      </c>
      <c r="J192" s="117"/>
    </row>
    <row r="193" spans="1:10" ht="12" customHeight="1" x14ac:dyDescent="0.3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113</v>
      </c>
      <c r="D202" s="124">
        <v>3987</v>
      </c>
      <c r="E202" s="72">
        <f>E203+E204</f>
        <v>0.78800000000000003</v>
      </c>
      <c r="F202" s="72">
        <f>F203+F204</f>
        <v>4227.7881200000002</v>
      </c>
      <c r="G202" s="72">
        <f>D202-F202</f>
        <v>-240.78812000000016</v>
      </c>
      <c r="H202" s="72">
        <f>H203+H204</f>
        <v>4488.4101700000001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0.1134</f>
        <v>0.1134</v>
      </c>
      <c r="F203" s="72">
        <f>3351.03151</f>
        <v>3351.0315099999998</v>
      </c>
      <c r="G203" s="72"/>
      <c r="H203" s="72">
        <f>3742.45678</f>
        <v>3742.45678</v>
      </c>
      <c r="I203" s="271"/>
      <c r="J203" s="117"/>
    </row>
    <row r="204" spans="1:10" ht="15" customHeight="1" x14ac:dyDescent="0.35">
      <c r="A204" s="1"/>
      <c r="B204" s="277"/>
      <c r="C204" s="172" t="s">
        <v>64</v>
      </c>
      <c r="D204" s="124"/>
      <c r="E204" s="124">
        <f>0.6746</f>
        <v>0.67459999999999998</v>
      </c>
      <c r="F204" s="124">
        <f>876.75661</f>
        <v>876.75661000000002</v>
      </c>
      <c r="G204" s="168"/>
      <c r="H204" s="124">
        <f>745.95339</f>
        <v>745.95339000000001</v>
      </c>
      <c r="I204" s="271"/>
      <c r="J204" s="117"/>
    </row>
    <row r="205" spans="1:10" ht="15" customHeight="1" x14ac:dyDescent="0.35">
      <c r="A205" s="1"/>
      <c r="B205" s="277"/>
      <c r="C205" s="90" t="s">
        <v>114</v>
      </c>
      <c r="D205" s="124">
        <v>4613</v>
      </c>
      <c r="E205" s="72">
        <f>0.3616</f>
        <v>0.36159999999999998</v>
      </c>
      <c r="F205" s="72">
        <f>5010.38515</f>
        <v>5010.3851500000001</v>
      </c>
      <c r="G205" s="72">
        <f>D205-F205</f>
        <v>-397.38515000000007</v>
      </c>
      <c r="H205" s="72">
        <f>5640.24319</f>
        <v>5640.2431900000001</v>
      </c>
      <c r="I205" s="271"/>
      <c r="J205" s="117"/>
    </row>
    <row r="206" spans="1:10" ht="16.5" customHeight="1" x14ac:dyDescent="0.35">
      <c r="A206" s="1"/>
      <c r="B206" s="277"/>
      <c r="C206" s="179" t="s">
        <v>83</v>
      </c>
      <c r="D206" s="190">
        <f>D205+D202</f>
        <v>8600</v>
      </c>
      <c r="E206" s="190">
        <f>SUM(E202,E205)</f>
        <v>1.1496</v>
      </c>
      <c r="F206" s="190">
        <f>SUM(F202,F205)</f>
        <v>9238.1732699999993</v>
      </c>
      <c r="G206" s="190">
        <f>D206-F206</f>
        <v>-638.17326999999932</v>
      </c>
      <c r="H206" s="190">
        <f>SUM(H202,H205)</f>
        <v>10128.65336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113</v>
      </c>
      <c r="D215" s="124">
        <v>5090</v>
      </c>
      <c r="E215" s="72">
        <f>E216+E217</f>
        <v>2.8029999999999999</v>
      </c>
      <c r="F215" s="72">
        <f>F216+F217</f>
        <v>5894.4302600000001</v>
      </c>
      <c r="G215" s="72">
        <f>D215-F215</f>
        <v>-804.43026000000009</v>
      </c>
      <c r="H215" s="72">
        <f>H216+H217</f>
        <v>5619.9242299999996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0.0966</f>
        <v>9.6600000000000005E-2</v>
      </c>
      <c r="F216" s="72">
        <f>5409.63655</f>
        <v>5409.6365500000002</v>
      </c>
      <c r="G216" s="72"/>
      <c r="H216" s="72">
        <f>4984.30679</f>
        <v>4984.3067899999996</v>
      </c>
      <c r="I216" s="271"/>
      <c r="J216" s="117"/>
    </row>
    <row r="217" spans="1:10" ht="15" customHeight="1" x14ac:dyDescent="0.35">
      <c r="A217" s="1"/>
      <c r="B217" s="277"/>
      <c r="C217" s="172" t="s">
        <v>64</v>
      </c>
      <c r="D217" s="124"/>
      <c r="E217" s="124">
        <f>2.7064</f>
        <v>2.7063999999999999</v>
      </c>
      <c r="F217" s="124">
        <f>484.79371</f>
        <v>484.79370999999998</v>
      </c>
      <c r="G217" s="168"/>
      <c r="H217" s="124">
        <f>635.61744</f>
        <v>635.61743999999999</v>
      </c>
      <c r="I217" s="271"/>
      <c r="J217" s="117"/>
    </row>
    <row r="218" spans="1:10" ht="15" customHeight="1" x14ac:dyDescent="0.35">
      <c r="A218" s="1"/>
      <c r="B218" s="277"/>
      <c r="C218" s="90" t="s">
        <v>114</v>
      </c>
      <c r="D218" s="124">
        <v>2981</v>
      </c>
      <c r="E218" s="72">
        <f>2.8818</f>
        <v>2.8818000000000001</v>
      </c>
      <c r="F218" s="72">
        <f>3788.78529</f>
        <v>3788.7852899999998</v>
      </c>
      <c r="G218" s="72">
        <f>D218-F218</f>
        <v>-807.7852899999998</v>
      </c>
      <c r="H218" s="72">
        <f>3656.73057</f>
        <v>3656.7305700000002</v>
      </c>
      <c r="I218" s="271"/>
      <c r="J218" s="117"/>
    </row>
    <row r="219" spans="1:10" ht="16.5" customHeight="1" x14ac:dyDescent="0.35">
      <c r="A219" s="1"/>
      <c r="B219" s="277"/>
      <c r="C219" s="179" t="s">
        <v>83</v>
      </c>
      <c r="D219" s="190">
        <f>D218+D215</f>
        <v>8071</v>
      </c>
      <c r="E219" s="190">
        <f>SUM(E215,E218)</f>
        <v>5.6848000000000001</v>
      </c>
      <c r="F219" s="190">
        <f>SUM(F215,F218)</f>
        <v>9683.2155500000008</v>
      </c>
      <c r="G219" s="190">
        <f>D219-F219</f>
        <v>-1612.2155500000008</v>
      </c>
      <c r="H219" s="190">
        <f>SUM(H215,H218)</f>
        <v>9276.6548000000003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89</v>
      </c>
      <c r="D237" s="124">
        <v>800</v>
      </c>
      <c r="E237" s="124">
        <f>3.03142</f>
        <v>3.0314199999999998</v>
      </c>
      <c r="F237" s="124">
        <f>657.26918</f>
        <v>657.26918000000001</v>
      </c>
      <c r="G237" s="124">
        <f>D237-F237</f>
        <v>142.73081999999999</v>
      </c>
      <c r="H237" s="124">
        <f>730.90137</f>
        <v>730.90137000000004</v>
      </c>
      <c r="I237" s="65"/>
      <c r="J237" s="267"/>
    </row>
    <row r="238" spans="1:10" ht="14.15" customHeight="1" x14ac:dyDescent="0.35">
      <c r="A238" s="1"/>
      <c r="B238" s="277"/>
      <c r="C238" s="90" t="s">
        <v>90</v>
      </c>
      <c r="D238" s="269">
        <v>2193</v>
      </c>
      <c r="E238" s="124">
        <f>2.00891</f>
        <v>2.0089100000000002</v>
      </c>
      <c r="F238" s="124">
        <f>1737.9448</f>
        <v>1737.9448</v>
      </c>
      <c r="G238" s="124">
        <f>D238-F238</f>
        <v>455.05520000000001</v>
      </c>
      <c r="H238" s="124">
        <f>2807.85269</f>
        <v>2807.8526900000002</v>
      </c>
      <c r="I238" s="173"/>
      <c r="J238" s="111"/>
    </row>
    <row r="239" spans="1:10" ht="16.5" customHeight="1" x14ac:dyDescent="0.3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3.78662</f>
        <v>3.7866200000000001</v>
      </c>
      <c r="I239" s="65"/>
      <c r="J239" s="272"/>
    </row>
    <row r="240" spans="1:10" ht="18.75" customHeight="1" x14ac:dyDescent="0.35">
      <c r="A240" s="65"/>
      <c r="B240" s="273"/>
      <c r="C240" s="146" t="s">
        <v>91</v>
      </c>
      <c r="D240" s="245"/>
      <c r="E240" s="168">
        <f>0</f>
        <v>0</v>
      </c>
      <c r="F240" s="168">
        <f>3.26883</f>
        <v>3.2688299999999999</v>
      </c>
      <c r="G240" s="124">
        <f>D240-F240</f>
        <v>-3.2688299999999999</v>
      </c>
      <c r="H240" s="168">
        <f>2.69251</f>
        <v>2.69251</v>
      </c>
      <c r="I240" s="305"/>
      <c r="J240" s="117"/>
    </row>
    <row r="241" spans="1:10" ht="14.15" customHeight="1" x14ac:dyDescent="0.35">
      <c r="A241" s="1"/>
      <c r="B241" s="277"/>
      <c r="C241" s="179" t="s">
        <v>83</v>
      </c>
      <c r="D241" s="5">
        <f>D226</f>
        <v>3003</v>
      </c>
      <c r="E241" s="190">
        <f>SUM(E237:E240)</f>
        <v>5.04033</v>
      </c>
      <c r="F241" s="190">
        <f>SUM(F237:F240)</f>
        <v>2398.5369500000002</v>
      </c>
      <c r="G241" s="190">
        <f>D241-F241</f>
        <v>604.46304999999984</v>
      </c>
      <c r="H241" s="190">
        <f>H237+H238+H239+H240</f>
        <v>3545.2331899999999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109</v>
      </c>
    </row>
    <row r="245" spans="1:10" ht="14.15" customHeight="1" x14ac:dyDescent="0.35">
      <c r="A245" s="1" t="s">
        <v>109</v>
      </c>
    </row>
    <row r="246" spans="1:10" ht="30" customHeight="1" x14ac:dyDescent="0.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3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11.2476</v>
      </c>
      <c r="G262" s="276">
        <f t="shared" si="17"/>
        <v>27604.924510000001</v>
      </c>
      <c r="H262" s="276">
        <f>H266+H265+H264+H263</f>
        <v>131.07548999999972</v>
      </c>
      <c r="I262" s="276">
        <f t="shared" si="17"/>
        <v>20516.996060000001</v>
      </c>
      <c r="J262" s="127"/>
    </row>
    <row r="263" spans="1:10" ht="14.15" customHeight="1" x14ac:dyDescent="0.35">
      <c r="A263" s="223"/>
      <c r="B263" s="69"/>
      <c r="C263" s="278" t="s">
        <v>99</v>
      </c>
      <c r="D263" s="279">
        <v>14132</v>
      </c>
      <c r="E263" s="279">
        <v>16670</v>
      </c>
      <c r="F263" s="280">
        <f>0</f>
        <v>0</v>
      </c>
      <c r="G263" s="280">
        <f>18791.32803</f>
        <v>18791.328030000001</v>
      </c>
      <c r="H263" s="280">
        <f t="shared" ref="H263:H267" si="18">E263-G263</f>
        <v>-2121.3280300000006</v>
      </c>
      <c r="I263" s="280">
        <f>13312.76856</f>
        <v>13312.76856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3777.79773</f>
        <v>3777.7977299999998</v>
      </c>
      <c r="H264" s="280">
        <f>E264-G264</f>
        <v>561.20227000000023</v>
      </c>
      <c r="I264" s="280">
        <f>2382.55392</f>
        <v>2382.5539199999998</v>
      </c>
      <c r="J264" s="127"/>
    </row>
    <row r="265" spans="1:10" ht="14.15" customHeight="1" x14ac:dyDescent="0.35">
      <c r="A265" s="223"/>
      <c r="B265" s="69"/>
      <c r="C265" s="282" t="s">
        <v>96</v>
      </c>
      <c r="D265" s="279">
        <v>1506</v>
      </c>
      <c r="E265" s="279">
        <v>1571</v>
      </c>
      <c r="F265" s="280">
        <f>11.2476</f>
        <v>11.2476</v>
      </c>
      <c r="G265" s="280">
        <f>1822.76816</f>
        <v>1822.7681600000001</v>
      </c>
      <c r="H265" s="280">
        <f t="shared" si="18"/>
        <v>-251.76816000000008</v>
      </c>
      <c r="I265" s="280">
        <f>2259.89807</f>
        <v>2259.8980700000002</v>
      </c>
      <c r="J265" s="127"/>
    </row>
    <row r="266" spans="1:10" ht="14.15" customHeight="1" x14ac:dyDescent="0.35">
      <c r="A266" s="223"/>
      <c r="B266" s="69"/>
      <c r="C266" s="284" t="s">
        <v>119</v>
      </c>
      <c r="D266" s="285">
        <v>5043</v>
      </c>
      <c r="E266" s="285">
        <v>5156</v>
      </c>
      <c r="F266" s="280">
        <f>0</f>
        <v>0</v>
      </c>
      <c r="G266" s="280">
        <f>3213.03059</f>
        <v>3213.0305899999998</v>
      </c>
      <c r="H266" s="280">
        <f t="shared" si="18"/>
        <v>1942.9694100000002</v>
      </c>
      <c r="I266" s="280">
        <f>2561.77551</f>
        <v>2561.7755099999999</v>
      </c>
      <c r="J266" s="127"/>
    </row>
    <row r="267" spans="1:10" ht="14.15" customHeight="1" x14ac:dyDescent="0.35">
      <c r="A267" s="223"/>
      <c r="B267" s="69"/>
      <c r="C267" s="287" t="s">
        <v>56</v>
      </c>
      <c r="D267" s="288">
        <v>5500</v>
      </c>
      <c r="E267" s="288">
        <v>5500</v>
      </c>
      <c r="F267" s="290">
        <f>0</f>
        <v>0</v>
      </c>
      <c r="G267" s="290">
        <f>4151.72124</f>
        <v>4151.7212399999999</v>
      </c>
      <c r="H267" s="290">
        <f t="shared" si="18"/>
        <v>1348.2787600000001</v>
      </c>
      <c r="I267" s="290">
        <f>2243.69478</f>
        <v>2243.6947799999998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9.9299999999999999E-2</v>
      </c>
      <c r="G268" s="291">
        <f>G270+G269</f>
        <v>4068.43815</v>
      </c>
      <c r="H268" s="291">
        <f>E268-G268</f>
        <v>3931.56185</v>
      </c>
      <c r="I268" s="291">
        <f>I270+I269</f>
        <v>4299.8444899999995</v>
      </c>
      <c r="J268" s="127"/>
    </row>
    <row r="269" spans="1:10" ht="14.15" customHeight="1" x14ac:dyDescent="0.3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548.44402</f>
        <v>548.44402000000002</v>
      </c>
      <c r="H269" s="280"/>
      <c r="I269" s="280">
        <f>1065.87556</f>
        <v>1065.87556</v>
      </c>
      <c r="J269" s="127"/>
    </row>
    <row r="270" spans="1:10" ht="14.15" customHeight="1" x14ac:dyDescent="0.35">
      <c r="A270" s="223"/>
      <c r="B270" s="69"/>
      <c r="C270" s="295" t="s">
        <v>100</v>
      </c>
      <c r="D270" s="296"/>
      <c r="E270" s="298"/>
      <c r="F270" s="299">
        <f>0.0993</f>
        <v>9.9299999999999999E-2</v>
      </c>
      <c r="G270" s="299">
        <f>3519.99413</f>
        <v>3519.99413</v>
      </c>
      <c r="H270" s="299"/>
      <c r="I270" s="299">
        <f>3233.96893</f>
        <v>3233.96893</v>
      </c>
      <c r="J270" s="127"/>
    </row>
    <row r="271" spans="1:10" ht="14.15" customHeight="1" x14ac:dyDescent="0.3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0.7525</f>
        <v>0.75249999999999995</v>
      </c>
      <c r="H271" s="290">
        <f>E271-G271</f>
        <v>12.2475</v>
      </c>
      <c r="I271" s="290">
        <f>0.1565</f>
        <v>0.1565</v>
      </c>
      <c r="J271" s="127"/>
    </row>
    <row r="272" spans="1:10" ht="14.15" customHeight="1" x14ac:dyDescent="0.35">
      <c r="A272" s="223"/>
      <c r="B272" s="69"/>
      <c r="C272" s="300" t="s">
        <v>101</v>
      </c>
      <c r="D272" s="303"/>
      <c r="E272" s="304"/>
      <c r="F272" s="290">
        <f>0.0324</f>
        <v>3.2399999999999998E-2</v>
      </c>
      <c r="G272" s="290">
        <f>194.47452</f>
        <v>194.47452000000001</v>
      </c>
      <c r="H272" s="290">
        <f>E272-G272</f>
        <v>-194.47452000000001</v>
      </c>
      <c r="I272" s="290">
        <f>135.25455</f>
        <v>135.25454999999999</v>
      </c>
      <c r="J272" s="127"/>
    </row>
    <row r="273" spans="1:10" ht="19.5" customHeight="1" x14ac:dyDescent="0.3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11.379300000000001</v>
      </c>
      <c r="G273" s="308">
        <f t="shared" si="19"/>
        <v>36020.310920000004</v>
      </c>
      <c r="H273" s="308">
        <f>H262+H267+H268+H271+H272</f>
        <v>5228.689080000001</v>
      </c>
      <c r="I273" s="308">
        <f t="shared" si="19"/>
        <v>27195.946380000005</v>
      </c>
      <c r="J273" s="127"/>
    </row>
    <row r="274" spans="1:10" ht="14.15" customHeight="1" x14ac:dyDescent="0.3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109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106</v>
      </c>
      <c r="D294" s="197">
        <v>779</v>
      </c>
      <c r="E294" s="25">
        <f>SUM(E295:E296)</f>
        <v>0</v>
      </c>
      <c r="F294" s="25">
        <f>SUM(F295:F296)</f>
        <v>925.70793000000003</v>
      </c>
      <c r="G294" s="82">
        <f>D294-F294</f>
        <v>-146.70793000000003</v>
      </c>
      <c r="H294" s="25">
        <f>SUM(H295:H296)</f>
        <v>1023.20588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684.79675</f>
        <v>684.79674999999997</v>
      </c>
      <c r="G295" s="199"/>
      <c r="H295" s="198">
        <f>778.94708</f>
        <v>778.94708000000003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5" customHeight="1" x14ac:dyDescent="0.35">
      <c r="A297" s="223"/>
      <c r="B297" s="69"/>
      <c r="C297" s="287" t="s">
        <v>107</v>
      </c>
      <c r="D297" s="9">
        <v>779</v>
      </c>
      <c r="E297" s="25">
        <f>SUM(E298:E299)</f>
        <v>21.2255</v>
      </c>
      <c r="F297" s="25">
        <f>SUM(F298:F299)</f>
        <v>302.58600000000001</v>
      </c>
      <c r="G297" s="82">
        <f>D297-F297</f>
        <v>476.41399999999999</v>
      </c>
      <c r="H297" s="25">
        <f>SUM(H298:H299)</f>
        <v>410.46924000000001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16.146</f>
        <v>16.146000000000001</v>
      </c>
      <c r="F298" s="29">
        <f>230.2833</f>
        <v>230.2833</v>
      </c>
      <c r="G298" s="94"/>
      <c r="H298" s="29">
        <f>302.1365</f>
        <v>302.13650000000001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5.0795</f>
        <v>5.0795000000000003</v>
      </c>
      <c r="F299" s="29">
        <f>72.3027</f>
        <v>72.302700000000002</v>
      </c>
      <c r="G299" s="105"/>
      <c r="H299" s="29">
        <f>108.33274</f>
        <v>108.33274</v>
      </c>
      <c r="I299" s="145"/>
      <c r="J299" s="127"/>
    </row>
    <row r="300" spans="1:10" ht="14.15" customHeight="1" x14ac:dyDescent="0.3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21.2255</v>
      </c>
      <c r="F304" s="39">
        <f>F294+F297+F300+F303</f>
        <v>1228.29393</v>
      </c>
      <c r="G304" s="40">
        <f>D304-F304</f>
        <v>1109.70607</v>
      </c>
      <c r="H304" s="39">
        <f>H294+H297+H300+H303</f>
        <v>1433.6751199999999</v>
      </c>
      <c r="I304" s="26"/>
      <c r="J304" s="127"/>
    </row>
    <row r="305" spans="1:10" ht="42" customHeight="1" x14ac:dyDescent="0.3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109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151</v>
      </c>
      <c r="D322" s="237">
        <v>248</v>
      </c>
      <c r="E322" s="29">
        <f>0.36263</f>
        <v>0.36263000000000001</v>
      </c>
      <c r="F322" s="29">
        <f>1188.54459</f>
        <v>1188.54459</v>
      </c>
      <c r="G322" s="238">
        <f>D322-F322</f>
        <v>-940.54458999999997</v>
      </c>
      <c r="H322" s="29">
        <f>678.69871</f>
        <v>678.69871000000001</v>
      </c>
      <c r="I322" s="242"/>
      <c r="J322" s="127"/>
    </row>
    <row r="323" spans="1:10" ht="17.5" customHeight="1" x14ac:dyDescent="0.35">
      <c r="A323" s="223"/>
      <c r="B323" s="69"/>
      <c r="C323" s="239" t="s">
        <v>152</v>
      </c>
      <c r="D323" s="240">
        <v>22048</v>
      </c>
      <c r="E323" s="29">
        <f>0.68282</f>
        <v>0.68281999999999998</v>
      </c>
      <c r="F323" s="29">
        <f>2314.56876</f>
        <v>2314.5687600000001</v>
      </c>
      <c r="G323" s="241">
        <f>D323-F323</f>
        <v>19733.431239999998</v>
      </c>
      <c r="H323" s="29">
        <f>2345.43172</f>
        <v>2345.43172</v>
      </c>
      <c r="I323" s="26"/>
      <c r="J323" s="127"/>
    </row>
    <row r="324" spans="1:10" ht="17.149999999999999" customHeight="1" x14ac:dyDescent="0.35">
      <c r="A324" s="223"/>
      <c r="B324" s="69"/>
      <c r="C324" s="306" t="s">
        <v>83</v>
      </c>
      <c r="D324" s="229">
        <f>D322+D323</f>
        <v>22296</v>
      </c>
      <c r="E324" s="39">
        <f>E323+E322</f>
        <v>1.04545</v>
      </c>
      <c r="F324" s="39">
        <f>F323+F322</f>
        <v>3503.1133500000001</v>
      </c>
      <c r="G324" s="39">
        <f>G323+G322</f>
        <v>18792.886649999997</v>
      </c>
      <c r="H324" s="39">
        <f>H323+H322</f>
        <v>3024.1304300000002</v>
      </c>
      <c r="I324" s="26"/>
      <c r="J324" s="127"/>
    </row>
    <row r="325" spans="1:10" ht="22.5" customHeight="1" x14ac:dyDescent="0.3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109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3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52&amp;R29.12.2025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2025-12-31T12:30:06Z</dcterms:modified>
</cp:coreProperties>
</file>