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lakro\Publisering\"/>
    </mc:Choice>
  </mc:AlternateContent>
  <xr:revisionPtr revIDLastSave="0" documentId="8_{ADFCE8B5-4693-4774-A12B-57609FAA02A4}" xr6:coauthVersionLast="47" xr6:coauthVersionMax="47" xr10:uidLastSave="{00000000-0000-0000-0000-000000000000}"/>
  <bookViews>
    <workbookView xWindow="28680" yWindow="-120" windowWidth="51840" windowHeight="212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36" i="1"/>
  <c r="G35" i="1"/>
  <c r="G30" i="1"/>
  <c r="G28" i="1"/>
  <c r="H55" i="1"/>
  <c r="G132" i="1" l="1"/>
  <c r="H132" i="1" s="1"/>
  <c r="D423" i="1"/>
  <c r="H422" i="1"/>
  <c r="F422" i="1"/>
  <c r="G422" i="1" s="1"/>
  <c r="E422" i="1"/>
  <c r="H421" i="1"/>
  <c r="F421" i="1"/>
  <c r="E421" i="1"/>
  <c r="H420" i="1"/>
  <c r="F420" i="1"/>
  <c r="F419" i="1" s="1"/>
  <c r="G419" i="1" s="1"/>
  <c r="E420" i="1"/>
  <c r="H419" i="1"/>
  <c r="E419" i="1"/>
  <c r="H418" i="1"/>
  <c r="F418" i="1"/>
  <c r="E418" i="1"/>
  <c r="H417" i="1"/>
  <c r="H416" i="1" s="1"/>
  <c r="F417" i="1"/>
  <c r="F416" i="1" s="1"/>
  <c r="E417" i="1"/>
  <c r="E416" i="1" s="1"/>
  <c r="H415" i="1"/>
  <c r="F415" i="1"/>
  <c r="F413" i="1" s="1"/>
  <c r="G413" i="1" s="1"/>
  <c r="E415" i="1"/>
  <c r="H414" i="1"/>
  <c r="F414" i="1"/>
  <c r="E414" i="1"/>
  <c r="E413" i="1" s="1"/>
  <c r="I390" i="1"/>
  <c r="H390" i="1"/>
  <c r="G390" i="1"/>
  <c r="F390" i="1"/>
  <c r="I389" i="1"/>
  <c r="G389" i="1"/>
  <c r="H389" i="1" s="1"/>
  <c r="F389" i="1"/>
  <c r="I388" i="1"/>
  <c r="G388" i="1"/>
  <c r="G386" i="1" s="1"/>
  <c r="H386" i="1" s="1"/>
  <c r="F388" i="1"/>
  <c r="F386" i="1" s="1"/>
  <c r="I387" i="1"/>
  <c r="G387" i="1"/>
  <c r="F387" i="1"/>
  <c r="I386" i="1"/>
  <c r="I385" i="1"/>
  <c r="G385" i="1"/>
  <c r="H385" i="1" s="1"/>
  <c r="F385" i="1"/>
  <c r="I384" i="1"/>
  <c r="H384" i="1"/>
  <c r="G384" i="1"/>
  <c r="F384" i="1"/>
  <c r="I383" i="1"/>
  <c r="G383" i="1"/>
  <c r="F383" i="1"/>
  <c r="I382" i="1"/>
  <c r="I380" i="1" s="1"/>
  <c r="I391" i="1" s="1"/>
  <c r="G382" i="1"/>
  <c r="H382" i="1" s="1"/>
  <c r="F382" i="1"/>
  <c r="I381" i="1"/>
  <c r="G381" i="1"/>
  <c r="H381" i="1" s="1"/>
  <c r="F381" i="1"/>
  <c r="F380" i="1"/>
  <c r="D380" i="1"/>
  <c r="D391" i="1" s="1"/>
  <c r="H372" i="1"/>
  <c r="F372" i="1"/>
  <c r="D354" i="1"/>
  <c r="H353" i="1"/>
  <c r="F353" i="1"/>
  <c r="G353" i="1" s="1"/>
  <c r="E353" i="1"/>
  <c r="H352" i="1"/>
  <c r="F352" i="1"/>
  <c r="G352" i="1" s="1"/>
  <c r="E352" i="1"/>
  <c r="H351" i="1"/>
  <c r="F351" i="1"/>
  <c r="E351" i="1"/>
  <c r="H350" i="1"/>
  <c r="G350" i="1"/>
  <c r="F350" i="1"/>
  <c r="E350" i="1"/>
  <c r="D343" i="1"/>
  <c r="D299" i="1"/>
  <c r="H298" i="1"/>
  <c r="F298" i="1"/>
  <c r="G298" i="1" s="1"/>
  <c r="E298" i="1"/>
  <c r="H297" i="1"/>
  <c r="H295" i="1" s="1"/>
  <c r="H299" i="1" s="1"/>
  <c r="F297" i="1"/>
  <c r="E297" i="1"/>
  <c r="H296" i="1"/>
  <c r="F296" i="1"/>
  <c r="E296" i="1"/>
  <c r="E295" i="1" s="1"/>
  <c r="F295" i="1"/>
  <c r="F299" i="1" s="1"/>
  <c r="G299" i="1" s="1"/>
  <c r="D253" i="1"/>
  <c r="H252" i="1"/>
  <c r="F252" i="1"/>
  <c r="G252" i="1" s="1"/>
  <c r="E252" i="1"/>
  <c r="H251" i="1"/>
  <c r="F251" i="1"/>
  <c r="E251" i="1"/>
  <c r="H250" i="1"/>
  <c r="H249" i="1" s="1"/>
  <c r="H253" i="1" s="1"/>
  <c r="F250" i="1"/>
  <c r="E250" i="1"/>
  <c r="D207" i="1"/>
  <c r="H206" i="1"/>
  <c r="F206" i="1"/>
  <c r="G206" i="1" s="1"/>
  <c r="E206" i="1"/>
  <c r="H205" i="1"/>
  <c r="F205" i="1"/>
  <c r="E205" i="1"/>
  <c r="H204" i="1"/>
  <c r="F204" i="1"/>
  <c r="G204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F179" i="1"/>
  <c r="F178" i="1" s="1"/>
  <c r="E179" i="1"/>
  <c r="H177" i="1"/>
  <c r="F177" i="1"/>
  <c r="G177" i="1" s="1"/>
  <c r="E177" i="1"/>
  <c r="H176" i="1"/>
  <c r="F176" i="1"/>
  <c r="E176" i="1"/>
  <c r="H175" i="1"/>
  <c r="G175" i="1"/>
  <c r="F175" i="1"/>
  <c r="E175" i="1"/>
  <c r="D167" i="1"/>
  <c r="D169" i="1" s="1"/>
  <c r="I148" i="1"/>
  <c r="G148" i="1"/>
  <c r="H148" i="1" s="1"/>
  <c r="F148" i="1"/>
  <c r="I147" i="1"/>
  <c r="H147" i="1"/>
  <c r="G147" i="1"/>
  <c r="F147" i="1"/>
  <c r="H146" i="1"/>
  <c r="I145" i="1"/>
  <c r="G145" i="1"/>
  <c r="H145" i="1" s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H141" i="1"/>
  <c r="G141" i="1"/>
  <c r="F141" i="1"/>
  <c r="I140" i="1"/>
  <c r="I139" i="1" s="1"/>
  <c r="G140" i="1"/>
  <c r="H140" i="1" s="1"/>
  <c r="H139" i="1" s="1"/>
  <c r="F140" i="1"/>
  <c r="F139" i="1" s="1"/>
  <c r="E139" i="1"/>
  <c r="D139" i="1"/>
  <c r="I138" i="1"/>
  <c r="H138" i="1"/>
  <c r="F138" i="1"/>
  <c r="I137" i="1"/>
  <c r="H137" i="1"/>
  <c r="F137" i="1"/>
  <c r="I136" i="1"/>
  <c r="H136" i="1"/>
  <c r="F136" i="1"/>
  <c r="I135" i="1"/>
  <c r="I134" i="1" s="1"/>
  <c r="G134" i="1"/>
  <c r="F135" i="1"/>
  <c r="E134" i="1"/>
  <c r="D134" i="1"/>
  <c r="D133" i="1"/>
  <c r="I132" i="1"/>
  <c r="F132" i="1"/>
  <c r="I131" i="1"/>
  <c r="G131" i="1"/>
  <c r="H131" i="1" s="1"/>
  <c r="F131" i="1"/>
  <c r="I130" i="1"/>
  <c r="G130" i="1"/>
  <c r="F130" i="1"/>
  <c r="I129" i="1"/>
  <c r="G129" i="1"/>
  <c r="H129" i="1" s="1"/>
  <c r="F129" i="1"/>
  <c r="F128" i="1" s="1"/>
  <c r="E128" i="1"/>
  <c r="D128" i="1"/>
  <c r="D150" i="1" s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G97" i="1"/>
  <c r="H97" i="1" s="1"/>
  <c r="H96" i="1" s="1"/>
  <c r="H95" i="1" s="1"/>
  <c r="F97" i="1"/>
  <c r="E96" i="1"/>
  <c r="E95" i="1" s="1"/>
  <c r="E107" i="1" s="1"/>
  <c r="D96" i="1"/>
  <c r="D95" i="1" s="1"/>
  <c r="D107" i="1" s="1"/>
  <c r="I94" i="1"/>
  <c r="I92" i="1" s="1"/>
  <c r="G94" i="1"/>
  <c r="H94" i="1" s="1"/>
  <c r="F94" i="1"/>
  <c r="I93" i="1"/>
  <c r="G93" i="1"/>
  <c r="G92" i="1" s="1"/>
  <c r="F93" i="1"/>
  <c r="F92" i="1" s="1"/>
  <c r="E92" i="1"/>
  <c r="D92" i="1"/>
  <c r="C89" i="1"/>
  <c r="H85" i="1"/>
  <c r="F85" i="1"/>
  <c r="D85" i="1"/>
  <c r="H61" i="1"/>
  <c r="H60" i="1"/>
  <c r="I55" i="1"/>
  <c r="G55" i="1"/>
  <c r="F55" i="1"/>
  <c r="I43" i="1"/>
  <c r="G43" i="1"/>
  <c r="H43" i="1" s="1"/>
  <c r="F43" i="1"/>
  <c r="H42" i="1"/>
  <c r="I41" i="1"/>
  <c r="G41" i="1"/>
  <c r="H41" i="1" s="1"/>
  <c r="F41" i="1"/>
  <c r="I40" i="1"/>
  <c r="G40" i="1"/>
  <c r="H40" i="1" s="1"/>
  <c r="F40" i="1"/>
  <c r="I39" i="1"/>
  <c r="H39" i="1"/>
  <c r="F39" i="1"/>
  <c r="I38" i="1"/>
  <c r="G38" i="1"/>
  <c r="H38" i="1" s="1"/>
  <c r="F38" i="1"/>
  <c r="I37" i="1"/>
  <c r="G37" i="1"/>
  <c r="H37" i="1" s="1"/>
  <c r="F37" i="1"/>
  <c r="I36" i="1"/>
  <c r="F36" i="1"/>
  <c r="I35" i="1"/>
  <c r="F35" i="1"/>
  <c r="E35" i="1"/>
  <c r="F34" i="1"/>
  <c r="D34" i="1"/>
  <c r="I33" i="1"/>
  <c r="G33" i="1"/>
  <c r="H33" i="1" s="1"/>
  <c r="F33" i="1"/>
  <c r="I32" i="1"/>
  <c r="G32" i="1"/>
  <c r="H32" i="1" s="1"/>
  <c r="F32" i="1"/>
  <c r="F27" i="1" s="1"/>
  <c r="I31" i="1"/>
  <c r="G31" i="1"/>
  <c r="H31" i="1" s="1"/>
  <c r="F31" i="1"/>
  <c r="I30" i="1"/>
  <c r="H30" i="1"/>
  <c r="F30" i="1"/>
  <c r="I29" i="1"/>
  <c r="H29" i="1"/>
  <c r="G29" i="1"/>
  <c r="F29" i="1"/>
  <c r="I28" i="1"/>
  <c r="H28" i="1"/>
  <c r="F28" i="1"/>
  <c r="E27" i="1"/>
  <c r="E26" i="1" s="1"/>
  <c r="D27" i="1"/>
  <c r="D26" i="1"/>
  <c r="I25" i="1"/>
  <c r="I23" i="1" s="1"/>
  <c r="G25" i="1"/>
  <c r="H25" i="1" s="1"/>
  <c r="H23" i="1" s="1"/>
  <c r="F25" i="1"/>
  <c r="I24" i="1"/>
  <c r="H24" i="1"/>
  <c r="G24" i="1"/>
  <c r="F24" i="1"/>
  <c r="F23" i="1" s="1"/>
  <c r="E23" i="1"/>
  <c r="E44" i="1" s="1"/>
  <c r="D23" i="1"/>
  <c r="H16" i="1"/>
  <c r="F16" i="1"/>
  <c r="D16" i="1"/>
  <c r="F391" i="1" l="1"/>
  <c r="H354" i="1"/>
  <c r="G34" i="1"/>
  <c r="I96" i="1"/>
  <c r="I95" i="1" s="1"/>
  <c r="I107" i="1" s="1"/>
  <c r="F249" i="1"/>
  <c r="G249" i="1" s="1"/>
  <c r="E354" i="1"/>
  <c r="H413" i="1"/>
  <c r="H423" i="1" s="1"/>
  <c r="I133" i="1"/>
  <c r="D44" i="1"/>
  <c r="G96" i="1"/>
  <c r="G95" i="1" s="1"/>
  <c r="G107" i="1" s="1"/>
  <c r="H178" i="1"/>
  <c r="E299" i="1"/>
  <c r="G380" i="1"/>
  <c r="F96" i="1"/>
  <c r="F95" i="1" s="1"/>
  <c r="F107" i="1" s="1"/>
  <c r="I128" i="1"/>
  <c r="I150" i="1" s="1"/>
  <c r="F134" i="1"/>
  <c r="F133" i="1" s="1"/>
  <c r="E178" i="1"/>
  <c r="H207" i="1"/>
  <c r="F354" i="1"/>
  <c r="G354" i="1" s="1"/>
  <c r="E423" i="1"/>
  <c r="G128" i="1"/>
  <c r="E133" i="1"/>
  <c r="F207" i="1"/>
  <c r="G207" i="1" s="1"/>
  <c r="E249" i="1"/>
  <c r="E253" i="1" s="1"/>
  <c r="I34" i="1"/>
  <c r="I27" i="1"/>
  <c r="H35" i="1"/>
  <c r="F26" i="1"/>
  <c r="F44" i="1" s="1"/>
  <c r="E184" i="1"/>
  <c r="E150" i="1"/>
  <c r="F150" i="1"/>
  <c r="H184" i="1"/>
  <c r="G178" i="1"/>
  <c r="F184" i="1"/>
  <c r="G184" i="1" s="1"/>
  <c r="H34" i="1"/>
  <c r="H27" i="1"/>
  <c r="G391" i="1"/>
  <c r="G416" i="1"/>
  <c r="F423" i="1"/>
  <c r="G423" i="1" s="1"/>
  <c r="H36" i="1"/>
  <c r="H130" i="1"/>
  <c r="H128" i="1" s="1"/>
  <c r="H135" i="1"/>
  <c r="H134" i="1" s="1"/>
  <c r="H133" i="1" s="1"/>
  <c r="G205" i="1"/>
  <c r="G295" i="1"/>
  <c r="G351" i="1"/>
  <c r="H383" i="1"/>
  <c r="H380" i="1" s="1"/>
  <c r="H391" i="1" s="1"/>
  <c r="G27" i="1"/>
  <c r="G139" i="1"/>
  <c r="G133" i="1" s="1"/>
  <c r="G150" i="1" s="1"/>
  <c r="H93" i="1"/>
  <c r="H92" i="1" s="1"/>
  <c r="H107" i="1" s="1"/>
  <c r="G23" i="1"/>
  <c r="G26" i="1" l="1"/>
  <c r="G44" i="1" s="1"/>
  <c r="H26" i="1"/>
  <c r="H44" i="1" s="1"/>
  <c r="I26" i="1"/>
  <c r="I44" i="1" s="1"/>
  <c r="F253" i="1"/>
  <c r="G253" i="1" s="1"/>
  <c r="H150" i="1"/>
</calcChain>
</file>

<file path=xl/sharedStrings.xml><?xml version="1.0" encoding="utf-8"?>
<sst xmlns="http://schemas.openxmlformats.org/spreadsheetml/2006/main" count="360" uniqueCount="152">
  <si>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</si>
  <si>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</si>
  <si>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</si>
  <si>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</si>
  <si>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</si>
  <si>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</si>
  <si>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</si>
  <si>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</si>
  <si>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</si>
  <si>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</si>
  <si>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</si>
  <si>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</si>
  <si>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</si>
  <si>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</si>
  <si>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</si>
  <si>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</si>
  <si>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</si>
  <si>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</si>
  <si>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</si>
  <si>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</si>
  <si>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</si>
  <si>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</si>
  <si>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</si>
  <si>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</si>
  <si>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</si>
  <si>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</si>
  <si>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</si>
  <si>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</si>
  <si>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</si>
  <si>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</si>
  <si>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</si>
  <si>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</si>
  <si>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</si>
  <si>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</si>
  <si>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</si>
  <si>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</si>
  <si>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</si>
  <si>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</si>
  <si>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</si>
  <si>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</si>
  <si>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</si>
  <si>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</si>
  <si>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</si>
  <si>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</si>
  <si>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</si>
  <si>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</si>
  <si>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</si>
  <si>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</si>
  <si>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</si>
  <si>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</si>
  <si>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</si>
  <si>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</si>
  <si>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</si>
  <si>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</si>
  <si>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</si>
  <si>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</si>
  <si>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</si>
  <si>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</si>
  <si>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</si>
  <si>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</si>
  <si>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</si>
  <si>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</si>
  <si>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</si>
  <si>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</si>
  <si>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</si>
  <si>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</si>
  <si>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</si>
  <si>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</si>
  <si>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</si>
  <si>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</si>
  <si>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</si>
  <si>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</si>
  <si>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</si>
  <si>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</si>
  <si>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</si>
  <si>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</si>
  <si>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</si>
  <si>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</si>
  <si>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</si>
  <si>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</si>
  <si>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</si>
  <si>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</si>
  <si>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</si>
  <si>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</si>
  <si>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</si>
  <si>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</si>
  <si>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</si>
  <si>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</si>
  <si>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</si>
  <si>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</si>
  <si>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</si>
  <si>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</si>
  <si>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</si>
  <si>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</si>
  <si>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</si>
  <si>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</si>
  <si>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</si>
  <si>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</si>
  <si>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</si>
  <si>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</si>
  <si>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</si>
  <si>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</si>
  <si>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</si>
  <si>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</si>
  <si>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</si>
  <si>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</si>
  <si>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</si>
  <si>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</si>
  <si>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</si>
  <si>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</si>
  <si>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</si>
  <si>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</si>
  <si>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</si>
  <si>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</si>
  <si>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</si>
  <si>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</si>
  <si>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</si>
  <si>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</si>
  <si>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</si>
  <si>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</si>
  <si>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</si>
  <si>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</si>
  <si>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</si>
  <si>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</si>
  <si>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</si>
  <si>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</si>
  <si>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</si>
  <si>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</si>
  <si>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</si>
  <si>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</si>
  <si>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</si>
  <si>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</si>
  <si>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</si>
  <si>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</si>
  <si>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</si>
  <si>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</si>
  <si>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</si>
  <si>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</si>
  <si>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</si>
  <si>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</si>
  <si>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</si>
  <si>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</si>
  <si>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</si>
  <si>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2 Registrert rekreasjonsfiske utgjør 61 tonn, men det legges til grunn at hele avsetningen tas</t>
  </si>
  <si>
    <t>4 Registrert rekreasjonsfiske utgjør 491 tonn, men det legges til grunn at hele avsetningen tas</t>
  </si>
  <si>
    <t>3 Registrert rekreasjonsfiske utgjør 872 tonn, men det legges til grunn at hele avsetningen tas</t>
  </si>
  <si>
    <t>FANGST UKE 38</t>
  </si>
  <si>
    <t>FANGST T.O.M UKE 38</t>
  </si>
  <si>
    <t>RESTKVOTER UKE 38</t>
  </si>
  <si>
    <t>FANGST T.O.M UKE 38 2023</t>
  </si>
  <si>
    <r>
      <t>3</t>
    </r>
    <r>
      <rPr>
        <sz val="9"/>
        <color indexed="8"/>
        <rFont val="Calibri"/>
        <family val="2"/>
      </rPr>
      <t xml:space="preserve"> Det er fisket 5 221 tonn sei med konvensjonelle redskap som belastes notkvoten.</t>
    </r>
  </si>
  <si>
    <t>JUSTERTE AVSETNINGER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</si>
</sst>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403" zoomScale="62" zoomScaleNormal="85" zoomScaleSheetLayoutView="100" zoomScalePageLayoutView="62" workbookViewId="0">
      <selection activeCell="I412" sqref="I412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3" t="s">
        <v>120</v>
      </c>
      <c r="C2" s="294"/>
      <c r="D2" s="294"/>
      <c r="E2" s="294"/>
      <c r="F2" s="294"/>
      <c r="G2" s="294"/>
      <c r="H2" s="294"/>
      <c r="I2" s="294"/>
      <c r="J2" s="295"/>
    </row>
    <row r="3" spans="1:10" ht="14.85" customHeight="1" x14ac:dyDescent="0.25">
      <c r="A3" s="1"/>
      <c r="B3" s="1"/>
      <c r="C3" s="1" t="s">
        <v>115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115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115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115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115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6"/>
      <c r="C9" s="297"/>
      <c r="D9" s="297"/>
      <c r="E9" s="297"/>
      <c r="F9" s="297"/>
      <c r="G9" s="297"/>
      <c r="H9" s="297"/>
      <c r="I9" s="297"/>
      <c r="J9" s="298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9" t="s">
        <v>1</v>
      </c>
      <c r="D11" s="300"/>
      <c r="E11" s="299" t="s">
        <v>2</v>
      </c>
      <c r="F11" s="300"/>
      <c r="G11" s="299" t="s">
        <v>3</v>
      </c>
      <c r="H11" s="300"/>
      <c r="I11" s="178"/>
      <c r="J11" s="244"/>
    </row>
    <row r="12" spans="1:10" ht="14.1" customHeight="1" x14ac:dyDescent="0.2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2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2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2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" customHeight="1" x14ac:dyDescent="0.2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25">
      <c r="A17" s="101"/>
      <c r="B17" s="24"/>
      <c r="C17" s="292" t="s">
        <v>139</v>
      </c>
      <c r="D17" s="292"/>
      <c r="E17" s="292"/>
      <c r="F17" s="292"/>
      <c r="G17" s="292"/>
      <c r="H17" s="292"/>
      <c r="I17" s="101"/>
      <c r="J17" s="157"/>
    </row>
    <row r="18" spans="1:10" ht="15" customHeight="1" x14ac:dyDescent="0.2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" customHeight="1" x14ac:dyDescent="0.2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136.21350000000001</v>
      </c>
      <c r="G23" s="28">
        <f t="shared" si="0"/>
        <v>39722.206709999999</v>
      </c>
      <c r="H23" s="11">
        <f t="shared" si="0"/>
        <v>21089.793290000001</v>
      </c>
      <c r="I23" s="11">
        <f t="shared" si="0"/>
        <v>58741.383680000006</v>
      </c>
      <c r="J23" s="244"/>
    </row>
    <row r="24" spans="1:10" ht="14.1" customHeight="1" x14ac:dyDescent="0.25">
      <c r="A24" s="1"/>
      <c r="B24" s="254"/>
      <c r="C24" s="44" t="s">
        <v>20</v>
      </c>
      <c r="D24" s="45">
        <v>61689</v>
      </c>
      <c r="E24" s="45">
        <v>60042</v>
      </c>
      <c r="F24" s="23">
        <f>136.2135</f>
        <v>136.21350000000001</v>
      </c>
      <c r="G24" s="23">
        <f>39193.60842</f>
        <v>39193.608419999997</v>
      </c>
      <c r="H24" s="23">
        <f>E24-G24</f>
        <v>20848.391580000003</v>
      </c>
      <c r="I24" s="23">
        <f>58341.24283</f>
        <v>58341.242830000003</v>
      </c>
      <c r="J24" s="244"/>
    </row>
    <row r="25" spans="1:10" ht="14.1" customHeight="1" x14ac:dyDescent="0.25">
      <c r="A25" s="1"/>
      <c r="B25" s="254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528.59829</f>
        <v>528.59829000000002</v>
      </c>
      <c r="H25" s="23">
        <f>E25-G25</f>
        <v>241.40170999999998</v>
      </c>
      <c r="I25" s="23">
        <f>400.14085</f>
        <v>400.14085</v>
      </c>
      <c r="J25" s="244"/>
    </row>
    <row r="26" spans="1:10" ht="14.1" customHeight="1" x14ac:dyDescent="0.2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265.36536000000001</v>
      </c>
      <c r="G26" s="11">
        <f t="shared" si="1"/>
        <v>124851.27069999999</v>
      </c>
      <c r="H26" s="11">
        <f t="shared" si="1"/>
        <v>20022.729300000006</v>
      </c>
      <c r="I26" s="11">
        <f t="shared" si="1"/>
        <v>175334.85414000001</v>
      </c>
      <c r="J26" s="244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214.28832</v>
      </c>
      <c r="G27" s="132">
        <f t="shared" ref="G27:I27" si="2">G28+G29+G30+G31+G32</f>
        <v>101757.94936</v>
      </c>
      <c r="H27" s="132">
        <f t="shared" si="2"/>
        <v>11220.050640000005</v>
      </c>
      <c r="I27" s="132">
        <f t="shared" si="2"/>
        <v>139167.38883000001</v>
      </c>
      <c r="J27" s="244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48.02297</f>
        <v>48.022970000000001</v>
      </c>
      <c r="G28" s="127">
        <f>26463.91654 - G56</f>
        <v>25810.916539999998</v>
      </c>
      <c r="H28" s="127">
        <f t="shared" ref="H28:H40" si="3">E28-G28</f>
        <v>2819.0834600000017</v>
      </c>
      <c r="I28" s="127">
        <f>37188.24469 - I56</f>
        <v>36428.24469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61.66419</f>
        <v>61.664189999999998</v>
      </c>
      <c r="G29" s="127">
        <f>28602.41824 - G57</f>
        <v>27631.418239999999</v>
      </c>
      <c r="H29" s="127">
        <f t="shared" si="3"/>
        <v>2033.5817600000009</v>
      </c>
      <c r="I29" s="127">
        <f>39511.64062 - I57</f>
        <v>37814.640619999998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6.46442</f>
        <v>6.4644199999999996</v>
      </c>
      <c r="G30" s="127">
        <f>26799.26907 - G58</f>
        <v>25658.269069999998</v>
      </c>
      <c r="H30" s="127">
        <f t="shared" si="3"/>
        <v>1585.7309300000015</v>
      </c>
      <c r="I30" s="127">
        <f>37304.16548 - I58</f>
        <v>34914.165480000003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17.13674</f>
        <v>17.13674</v>
      </c>
      <c r="G31" s="127">
        <f>19892.34551 - G59</f>
        <v>18924.345509999999</v>
      </c>
      <c r="H31" s="127">
        <f t="shared" si="3"/>
        <v>414.65449000000081</v>
      </c>
      <c r="I31" s="127">
        <f>25163.33804 - I59</f>
        <v>24027.338039999999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F55</f>
        <v>81</v>
      </c>
      <c r="G32" s="127">
        <f>G55</f>
        <v>3733</v>
      </c>
      <c r="H32" s="127">
        <f t="shared" si="3"/>
        <v>4367</v>
      </c>
      <c r="I32" s="127">
        <f>I55</f>
        <v>5983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0</f>
        <v>0</v>
      </c>
      <c r="G33" s="132">
        <f>11000.51471</f>
        <v>11000.514709999999</v>
      </c>
      <c r="H33" s="132">
        <f t="shared" si="3"/>
        <v>5858.4852900000005</v>
      </c>
      <c r="I33" s="132">
        <f>15870.1705</f>
        <v>15870.1705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51.077039999999997</v>
      </c>
      <c r="G34" s="132">
        <f>G35+G36</f>
        <v>12092.806629999999</v>
      </c>
      <c r="H34" s="132">
        <f t="shared" si="3"/>
        <v>2944.1933700000009</v>
      </c>
      <c r="I34" s="132">
        <f>I35+I36</f>
        <v>20297.294809999999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29.07704</f>
        <v>29.07704</v>
      </c>
      <c r="G35" s="132">
        <f>14910.80663 - G60 - G61</f>
        <v>11657.806629999999</v>
      </c>
      <c r="H35" s="127">
        <f t="shared" si="3"/>
        <v>2419.1933700000009</v>
      </c>
      <c r="I35" s="127">
        <f>24682.29481 - I60 - I61</f>
        <v>19748.294809999999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22</v>
      </c>
      <c r="G36" s="71">
        <f>G60</f>
        <v>435</v>
      </c>
      <c r="H36" s="71">
        <f t="shared" si="3"/>
        <v>525</v>
      </c>
      <c r="I36" s="71">
        <f>I60</f>
        <v>549</v>
      </c>
      <c r="J36" s="65"/>
    </row>
    <row r="37" spans="1:13" ht="15.75" customHeight="1" x14ac:dyDescent="0.2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" customHeight="1" x14ac:dyDescent="0.25">
      <c r="A38" s="1"/>
      <c r="B38" s="254"/>
      <c r="C38" s="73" t="s">
        <v>34</v>
      </c>
      <c r="D38" s="143">
        <v>855</v>
      </c>
      <c r="E38" s="143">
        <v>855</v>
      </c>
      <c r="F38" s="98">
        <f>1.5</f>
        <v>1.5</v>
      </c>
      <c r="G38" s="98">
        <f>474.17923</f>
        <v>474.17923000000002</v>
      </c>
      <c r="H38" s="98">
        <f t="shared" si="3"/>
        <v>380.82076999999998</v>
      </c>
      <c r="I38" s="98">
        <f>492.44022</f>
        <v>492.44022000000001</v>
      </c>
      <c r="J38" s="244"/>
    </row>
    <row r="39" spans="1:13" ht="17.25" customHeight="1" x14ac:dyDescent="0.2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4</v>
      </c>
      <c r="G39" s="98">
        <f>G61</f>
        <v>2818</v>
      </c>
      <c r="H39" s="98">
        <f t="shared" si="3"/>
        <v>182</v>
      </c>
      <c r="I39" s="98">
        <f>I61</f>
        <v>4385</v>
      </c>
      <c r="J39" s="244"/>
    </row>
    <row r="40" spans="1:13" ht="17.25" customHeight="1" x14ac:dyDescent="0.25">
      <c r="A40" s="1"/>
      <c r="B40" s="254"/>
      <c r="C40" s="73" t="s">
        <v>36</v>
      </c>
      <c r="D40" s="143">
        <v>7000</v>
      </c>
      <c r="E40" s="143">
        <v>7000</v>
      </c>
      <c r="F40" s="98">
        <f>1.99075</f>
        <v>1.99075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25">
      <c r="A41" s="1"/>
      <c r="B41" s="254"/>
      <c r="C41" s="73" t="s">
        <v>38</v>
      </c>
      <c r="D41" s="143">
        <v>400</v>
      </c>
      <c r="E41" s="143">
        <v>400</v>
      </c>
      <c r="F41" s="98">
        <f>0.8836</f>
        <v>0.88360000000000005</v>
      </c>
      <c r="G41" s="98">
        <f>338.98952</f>
        <v>338.98952000000003</v>
      </c>
      <c r="H41" s="98">
        <f>E41-G41</f>
        <v>61.010479999999973</v>
      </c>
      <c r="I41" s="98">
        <f>355.68735</f>
        <v>355.68734999999998</v>
      </c>
      <c r="J41" s="244"/>
    </row>
    <row r="42" spans="1:13" ht="17.25" customHeight="1" x14ac:dyDescent="0.25">
      <c r="A42" s="1"/>
      <c r="B42" s="254"/>
      <c r="C42" s="73" t="s">
        <v>127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" customHeight="1" x14ac:dyDescent="0.25">
      <c r="A43" s="1"/>
      <c r="B43" s="254"/>
      <c r="C43" s="73" t="s">
        <v>39</v>
      </c>
      <c r="D43" s="143"/>
      <c r="E43" s="139"/>
      <c r="F43" s="139">
        <f>1.38768</f>
        <v>1.38768</v>
      </c>
      <c r="G43" s="139">
        <f>104.12755</f>
        <v>104.12755</v>
      </c>
      <c r="H43" s="139">
        <f t="shared" ref="H43" si="4">E43-G43</f>
        <v>-104.12755</v>
      </c>
      <c r="I43" s="139">
        <f>107.06692</f>
        <v>107.06692</v>
      </c>
      <c r="J43" s="244"/>
    </row>
    <row r="44" spans="1:13" ht="16.5" customHeight="1" x14ac:dyDescent="0.2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411.34089</v>
      </c>
      <c r="G44" s="76">
        <f t="shared" si="5"/>
        <v>175657.13891000001</v>
      </c>
      <c r="H44" s="76">
        <f t="shared" si="5"/>
        <v>43383.861090000006</v>
      </c>
      <c r="I44" s="76">
        <f t="shared" si="5"/>
        <v>247163.22391</v>
      </c>
      <c r="J44" s="244"/>
    </row>
    <row r="45" spans="1:13" ht="14.1" customHeight="1" x14ac:dyDescent="0.25">
      <c r="A45" s="101"/>
      <c r="B45" s="24"/>
      <c r="C45" s="77" t="s">
        <v>128</v>
      </c>
      <c r="D45" s="258"/>
      <c r="E45" s="258"/>
      <c r="F45" s="80"/>
      <c r="G45" s="80"/>
      <c r="H45" s="228"/>
      <c r="I45" s="228"/>
      <c r="J45" s="81"/>
    </row>
    <row r="46" spans="1:13" ht="14.1" customHeight="1" x14ac:dyDescent="0.2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" customHeight="1" x14ac:dyDescent="0.2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129</v>
      </c>
      <c r="D48" s="258"/>
      <c r="E48" s="258"/>
      <c r="F48" s="258"/>
      <c r="G48" s="258"/>
      <c r="H48" s="178"/>
      <c r="I48" s="178"/>
      <c r="J48" s="120"/>
    </row>
    <row r="49" spans="1:11" ht="14.1" customHeight="1" x14ac:dyDescent="0.2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1" ht="14.1" customHeight="1" x14ac:dyDescent="0.2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1" ht="20.25" customHeight="1" x14ac:dyDescent="0.2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1" ht="33" customHeight="1" x14ac:dyDescent="0.2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1" ht="7.5" customHeight="1" x14ac:dyDescent="0.2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1" ht="61.5" customHeight="1" x14ac:dyDescent="0.25">
      <c r="A54" s="101"/>
      <c r="B54" s="24"/>
      <c r="C54" s="86" t="s">
        <v>16</v>
      </c>
      <c r="D54" s="68" t="s">
        <v>44</v>
      </c>
      <c r="E54" s="68" t="s">
        <v>151</v>
      </c>
      <c r="F54" s="68" t="s">
        <v>146</v>
      </c>
      <c r="G54" s="68" t="s">
        <v>147</v>
      </c>
      <c r="H54" s="68" t="s">
        <v>148</v>
      </c>
      <c r="I54" s="68" t="s">
        <v>149</v>
      </c>
      <c r="J54" s="258"/>
      <c r="K54" s="244"/>
    </row>
    <row r="55" spans="1:11" ht="14.1" customHeight="1" x14ac:dyDescent="0.25">
      <c r="A55" s="101"/>
      <c r="B55" s="24"/>
      <c r="C55" s="16" t="s">
        <v>45</v>
      </c>
      <c r="D55" s="304">
        <v>7872</v>
      </c>
      <c r="E55" s="304">
        <v>8100</v>
      </c>
      <c r="F55" s="11">
        <f>F59+F58+F57+F56</f>
        <v>81</v>
      </c>
      <c r="G55" s="11">
        <f>G59+G58+G57+G56</f>
        <v>3733</v>
      </c>
      <c r="H55" s="304">
        <f>E55-G55</f>
        <v>4367</v>
      </c>
      <c r="I55" s="11">
        <f>I59+I58+I57+I56</f>
        <v>5983</v>
      </c>
      <c r="J55" s="258"/>
      <c r="K55" s="244"/>
    </row>
    <row r="56" spans="1:11" ht="14.1" customHeight="1" x14ac:dyDescent="0.25">
      <c r="A56" s="101"/>
      <c r="B56" s="24"/>
      <c r="C56" s="62" t="s">
        <v>24</v>
      </c>
      <c r="D56" s="305"/>
      <c r="E56" s="305"/>
      <c r="F56" s="127">
        <v>35</v>
      </c>
      <c r="G56" s="127">
        <v>653</v>
      </c>
      <c r="H56" s="305"/>
      <c r="I56" s="127">
        <v>760</v>
      </c>
      <c r="J56" s="258"/>
      <c r="K56" s="244"/>
    </row>
    <row r="57" spans="1:11" ht="14.1" customHeight="1" x14ac:dyDescent="0.25">
      <c r="A57" s="101"/>
      <c r="B57" s="24"/>
      <c r="C57" s="62" t="s">
        <v>25</v>
      </c>
      <c r="D57" s="305"/>
      <c r="E57" s="305"/>
      <c r="F57" s="127">
        <v>29</v>
      </c>
      <c r="G57" s="127">
        <v>971</v>
      </c>
      <c r="H57" s="305"/>
      <c r="I57" s="127">
        <v>1697</v>
      </c>
      <c r="J57" s="258"/>
      <c r="K57" s="244"/>
    </row>
    <row r="58" spans="1:11" ht="14.1" customHeight="1" x14ac:dyDescent="0.25">
      <c r="A58" s="101"/>
      <c r="B58" s="24"/>
      <c r="C58" s="62" t="s">
        <v>26</v>
      </c>
      <c r="D58" s="305"/>
      <c r="E58" s="305"/>
      <c r="F58" s="127">
        <v>4</v>
      </c>
      <c r="G58" s="127">
        <v>1141</v>
      </c>
      <c r="H58" s="305"/>
      <c r="I58" s="127">
        <v>2390</v>
      </c>
      <c r="J58" s="258"/>
      <c r="K58" s="244"/>
    </row>
    <row r="59" spans="1:11" ht="14.1" customHeight="1" x14ac:dyDescent="0.25">
      <c r="A59" s="101"/>
      <c r="B59" s="24"/>
      <c r="C59" s="87" t="s">
        <v>27</v>
      </c>
      <c r="D59" s="306"/>
      <c r="E59" s="306"/>
      <c r="F59" s="192">
        <v>13</v>
      </c>
      <c r="G59" s="192">
        <v>968</v>
      </c>
      <c r="H59" s="306"/>
      <c r="I59" s="192">
        <v>1136</v>
      </c>
      <c r="J59" s="258"/>
      <c r="K59" s="244"/>
    </row>
    <row r="60" spans="1:11" ht="14.1" customHeight="1" x14ac:dyDescent="0.25">
      <c r="A60" s="101"/>
      <c r="B60" s="24"/>
      <c r="C60" s="88" t="s">
        <v>46</v>
      </c>
      <c r="D60" s="95">
        <v>960</v>
      </c>
      <c r="E60" s="95">
        <v>960</v>
      </c>
      <c r="F60" s="95">
        <v>22</v>
      </c>
      <c r="G60" s="95">
        <v>435</v>
      </c>
      <c r="H60" s="95">
        <f>E60-G60</f>
        <v>525</v>
      </c>
      <c r="I60" s="95">
        <v>549</v>
      </c>
      <c r="J60" s="258"/>
      <c r="K60" s="244"/>
    </row>
    <row r="61" spans="1:11" ht="14.1" customHeight="1" x14ac:dyDescent="0.25">
      <c r="A61" s="101"/>
      <c r="B61" s="24"/>
      <c r="C61" s="142" t="s">
        <v>47</v>
      </c>
      <c r="D61" s="139">
        <v>3000</v>
      </c>
      <c r="E61" s="139">
        <v>3000</v>
      </c>
      <c r="F61" s="139">
        <v>4</v>
      </c>
      <c r="G61" s="139">
        <v>2818</v>
      </c>
      <c r="H61" s="139">
        <f>E61-G61</f>
        <v>182</v>
      </c>
      <c r="I61" s="139">
        <v>4385</v>
      </c>
      <c r="J61" s="258"/>
      <c r="K61" s="244"/>
    </row>
    <row r="62" spans="1:11" ht="14.1" customHeight="1" x14ac:dyDescent="0.25">
      <c r="A62" s="101"/>
      <c r="B62" s="24"/>
      <c r="C62" s="77" t="s">
        <v>130</v>
      </c>
      <c r="D62" s="258"/>
      <c r="E62" s="258"/>
      <c r="F62" s="258"/>
      <c r="G62" s="258"/>
      <c r="H62" s="178"/>
      <c r="I62" s="178"/>
      <c r="J62" s="120"/>
    </row>
    <row r="63" spans="1:11" ht="14.1" customHeight="1" x14ac:dyDescent="0.2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1" ht="15" customHeight="1" x14ac:dyDescent="0.2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115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204" customHeight="1" x14ac:dyDescent="0.25"/>
    <row r="78" spans="1:10" ht="17.100000000000001" customHeight="1" x14ac:dyDescent="0.2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9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9" t="s">
        <v>1</v>
      </c>
      <c r="D81" s="300"/>
      <c r="E81" s="299" t="s">
        <v>2</v>
      </c>
      <c r="F81" s="307"/>
      <c r="G81" s="299" t="s">
        <v>3</v>
      </c>
      <c r="H81" s="300"/>
      <c r="I81" s="178"/>
      <c r="J81" s="244"/>
    </row>
    <row r="82" spans="1:10" ht="15" customHeight="1" x14ac:dyDescent="0.2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2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" customHeight="1" x14ac:dyDescent="0.2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2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25">
      <c r="A86" s="1"/>
      <c r="B86" s="254"/>
      <c r="C86" s="101" t="s">
        <v>140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2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" customHeight="1" x14ac:dyDescent="0.2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2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2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" customHeight="1" x14ac:dyDescent="0.2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10.840999999999999</v>
      </c>
      <c r="G92" s="11">
        <f t="shared" si="6"/>
        <v>23445.02404</v>
      </c>
      <c r="H92" s="11">
        <f t="shared" si="6"/>
        <v>2515.9759599999988</v>
      </c>
      <c r="I92" s="11">
        <f t="shared" si="6"/>
        <v>39595.861539999998</v>
      </c>
      <c r="J92" s="244"/>
    </row>
    <row r="93" spans="1:10" ht="15" customHeight="1" x14ac:dyDescent="0.25">
      <c r="A93" s="1"/>
      <c r="B93" s="254"/>
      <c r="C93" s="44" t="s">
        <v>20</v>
      </c>
      <c r="D93" s="45">
        <v>25957</v>
      </c>
      <c r="E93" s="45">
        <v>25136</v>
      </c>
      <c r="F93" s="23">
        <f>10.841</f>
        <v>10.840999999999999</v>
      </c>
      <c r="G93" s="23">
        <f>22653.00729</f>
        <v>22653.007290000001</v>
      </c>
      <c r="H93" s="23">
        <f>E93-G93</f>
        <v>2482.9927099999986</v>
      </c>
      <c r="I93" s="23">
        <f>39086.48715</f>
        <v>39086.487150000001</v>
      </c>
      <c r="J93" s="244"/>
    </row>
    <row r="94" spans="1:10" ht="14.1" customHeight="1" x14ac:dyDescent="0.25">
      <c r="A94" s="1"/>
      <c r="B94" s="254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792.01675</f>
        <v>792.01675</v>
      </c>
      <c r="H94" s="50">
        <f>E94-G94</f>
        <v>32.983249999999998</v>
      </c>
      <c r="I94" s="50">
        <f>509.37439</f>
        <v>509.37439000000001</v>
      </c>
      <c r="J94" s="244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179.84003999999999</v>
      </c>
      <c r="G95" s="11">
        <f t="shared" si="7"/>
        <v>39494.898309999997</v>
      </c>
      <c r="H95" s="11">
        <f t="shared" si="7"/>
        <v>9499.1016899999995</v>
      </c>
      <c r="I95" s="11">
        <f t="shared" si="7"/>
        <v>29231.606110000001</v>
      </c>
      <c r="J95" s="244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131.04689999999999</v>
      </c>
      <c r="G96" s="132">
        <f t="shared" si="8"/>
        <v>31867.636319999998</v>
      </c>
      <c r="H96" s="132">
        <f t="shared" si="8"/>
        <v>5626.3636799999995</v>
      </c>
      <c r="I96" s="132">
        <f t="shared" si="8"/>
        <v>21214.863700000002</v>
      </c>
      <c r="J96" s="244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73.29279</f>
        <v>73.292789999999997</v>
      </c>
      <c r="G97" s="127">
        <f>4960.50263</f>
        <v>4960.50263</v>
      </c>
      <c r="H97" s="127">
        <f t="shared" ref="H97:H104" si="9">E97-G97</f>
        <v>5054.49737</v>
      </c>
      <c r="I97" s="127">
        <f>3176.06478</f>
        <v>3176.0647800000002</v>
      </c>
      <c r="J97" s="244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24.07944</f>
        <v>24.079440000000002</v>
      </c>
      <c r="G98" s="127">
        <f>10423.97121</f>
        <v>10423.97121</v>
      </c>
      <c r="H98" s="127">
        <f t="shared" si="9"/>
        <v>190.0287900000003</v>
      </c>
      <c r="I98" s="127">
        <f>6499.66245</f>
        <v>6499.6624499999998</v>
      </c>
      <c r="J98" s="244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7.95091</f>
        <v>7.9509100000000004</v>
      </c>
      <c r="G99" s="127">
        <f>9764.25905</f>
        <v>9764.2590500000006</v>
      </c>
      <c r="H99" s="127">
        <f t="shared" si="9"/>
        <v>347.74094999999943</v>
      </c>
      <c r="I99" s="127">
        <f>6411.57324</f>
        <v>6411.5732399999997</v>
      </c>
      <c r="J99" s="244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25.72376</f>
        <v>25.723759999999999</v>
      </c>
      <c r="G100" s="127">
        <f>6718.90343</f>
        <v>6718.9034300000003</v>
      </c>
      <c r="H100" s="127">
        <f t="shared" si="9"/>
        <v>34.096569999999701</v>
      </c>
      <c r="I100" s="127">
        <f>5127.56323</f>
        <v>5127.5632299999997</v>
      </c>
      <c r="J100" s="244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0.0756</f>
        <v>7.5600000000000001E-2</v>
      </c>
      <c r="G101" s="132">
        <f>5380.15979</f>
        <v>5380.1597899999997</v>
      </c>
      <c r="H101" s="132">
        <f t="shared" si="9"/>
        <v>2215.8402100000003</v>
      </c>
      <c r="I101" s="132">
        <f>6448.37048</f>
        <v>6448.3704799999996</v>
      </c>
      <c r="J101" s="244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48.71754</f>
        <v>48.71754</v>
      </c>
      <c r="G102" s="75">
        <f>2247.1022</f>
        <v>2247.1021999999998</v>
      </c>
      <c r="H102" s="75">
        <f t="shared" si="9"/>
        <v>1656.8978000000002</v>
      </c>
      <c r="I102" s="75">
        <f>1568.37193</f>
        <v>1568.37193</v>
      </c>
      <c r="J102" s="244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36.10176</f>
        <v>36.101759999999999</v>
      </c>
      <c r="H103" s="98">
        <f t="shared" si="9"/>
        <v>282.89823999999999</v>
      </c>
      <c r="I103" s="98">
        <f>11.34443</f>
        <v>11.344429999999999</v>
      </c>
      <c r="J103" s="244"/>
    </row>
    <row r="104" spans="1:10" ht="18" customHeight="1" x14ac:dyDescent="0.25">
      <c r="A104" s="1"/>
      <c r="B104" s="254"/>
      <c r="C104" s="73" t="s">
        <v>54</v>
      </c>
      <c r="D104" s="143">
        <v>300</v>
      </c>
      <c r="E104" s="143">
        <v>300</v>
      </c>
      <c r="F104" s="139">
        <f>0.26589</f>
        <v>0.26589000000000002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25">
      <c r="A105" s="1"/>
      <c r="B105" s="254"/>
      <c r="C105" s="93" t="s">
        <v>38</v>
      </c>
      <c r="D105" s="143">
        <v>50</v>
      </c>
      <c r="E105" s="143">
        <v>50</v>
      </c>
      <c r="F105" s="98">
        <f>5.63502</f>
        <v>5.6350199999999999</v>
      </c>
      <c r="G105" s="98">
        <f>33.61757</f>
        <v>33.617570000000001</v>
      </c>
      <c r="H105" s="139">
        <f>E105-G105</f>
        <v>16.382429999999999</v>
      </c>
      <c r="I105" s="98">
        <f>8.9026</f>
        <v>8.9025999999999996</v>
      </c>
      <c r="J105" s="244"/>
    </row>
    <row r="106" spans="1:10" ht="18" customHeight="1" x14ac:dyDescent="0.25">
      <c r="A106" s="1"/>
      <c r="B106" s="254"/>
      <c r="C106" s="93" t="s">
        <v>55</v>
      </c>
      <c r="D106" s="143"/>
      <c r="E106" s="139"/>
      <c r="F106" s="139">
        <f>0.42522</f>
        <v>0.42521999999999999</v>
      </c>
      <c r="G106" s="139">
        <f>28.6341</f>
        <v>28.6341</v>
      </c>
      <c r="H106" s="139">
        <f t="shared" ref="H106" si="10">E106-G106</f>
        <v>-28.6341</v>
      </c>
      <c r="I106" s="139">
        <f>96.61676</f>
        <v>96.616759999999999</v>
      </c>
      <c r="J106" s="244"/>
    </row>
    <row r="107" spans="1:10" ht="16.5" customHeight="1" x14ac:dyDescent="0.2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197.00717</v>
      </c>
      <c r="G107" s="76">
        <f t="shared" si="12"/>
        <v>63338.275779999996</v>
      </c>
      <c r="H107" s="76">
        <f t="shared" si="12"/>
        <v>12285.72422</v>
      </c>
      <c r="I107" s="76">
        <f t="shared" si="12"/>
        <v>69244.331440000009</v>
      </c>
      <c r="J107" s="244"/>
    </row>
    <row r="108" spans="1:10" ht="13.5" customHeight="1" x14ac:dyDescent="0.25">
      <c r="A108" s="1"/>
      <c r="B108" s="254"/>
      <c r="C108" s="77" t="s">
        <v>131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2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25">
      <c r="A110" s="1"/>
      <c r="B110" s="24"/>
      <c r="C110" s="161" t="s">
        <v>132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2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115</v>
      </c>
      <c r="D113" s="228"/>
      <c r="E113" s="228"/>
      <c r="F113" s="228"/>
      <c r="G113" s="228"/>
      <c r="H113" s="228"/>
      <c r="I113" s="101"/>
      <c r="J113" s="101" t="s">
        <v>115</v>
      </c>
    </row>
    <row r="114" spans="1:10" ht="14.25" customHeight="1" x14ac:dyDescent="0.25">
      <c r="A114" s="1"/>
      <c r="B114" s="101"/>
      <c r="C114" s="101" t="s">
        <v>115</v>
      </c>
      <c r="D114" s="101" t="s">
        <v>115</v>
      </c>
      <c r="E114" s="101"/>
      <c r="F114" s="101"/>
      <c r="G114" s="101"/>
      <c r="H114" s="101"/>
      <c r="I114" s="101"/>
      <c r="J114" s="101" t="s">
        <v>115</v>
      </c>
    </row>
    <row r="115" spans="1:10" ht="17.100000000000001" customHeight="1" x14ac:dyDescent="0.2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2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" customHeight="1" x14ac:dyDescent="0.2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" customHeight="1" x14ac:dyDescent="0.2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" customHeight="1" x14ac:dyDescent="0.2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2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25">
      <c r="A124" s="101"/>
      <c r="B124" s="24"/>
      <c r="C124" s="101" t="s">
        <v>116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2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" customHeight="1" x14ac:dyDescent="0.25">
      <c r="A128" s="1"/>
      <c r="B128" s="254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240.75516999999999</v>
      </c>
      <c r="G128" s="11">
        <f t="shared" si="13"/>
        <v>45136.56897</v>
      </c>
      <c r="H128" s="11">
        <f t="shared" si="13"/>
        <v>27170.43103</v>
      </c>
      <c r="I128" s="11">
        <f t="shared" si="13"/>
        <v>50297.057929999995</v>
      </c>
      <c r="J128" s="244"/>
    </row>
    <row r="129" spans="1:10" ht="14.1" customHeight="1" x14ac:dyDescent="0.25">
      <c r="A129" s="1"/>
      <c r="B129" s="254"/>
      <c r="C129" s="44" t="s">
        <v>20</v>
      </c>
      <c r="D129" s="45">
        <v>60688</v>
      </c>
      <c r="E129" s="45">
        <v>57562</v>
      </c>
      <c r="F129" s="23">
        <f>240.75517</f>
        <v>240.75516999999999</v>
      </c>
      <c r="G129" s="23">
        <f>39625.49437</f>
        <v>39625.49437</v>
      </c>
      <c r="H129" s="23">
        <f>E129-G129</f>
        <v>17936.50563</v>
      </c>
      <c r="I129" s="23">
        <f>44566.22573</f>
        <v>44566.225729999998</v>
      </c>
      <c r="J129" s="244"/>
    </row>
    <row r="130" spans="1:10" ht="15" customHeight="1" x14ac:dyDescent="0.25">
      <c r="A130" s="1"/>
      <c r="B130" s="254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5445.34745</f>
        <v>5445.3474500000002</v>
      </c>
      <c r="H130" s="23">
        <f>E130-G130</f>
        <v>8799.6525499999989</v>
      </c>
      <c r="I130" s="23">
        <f>5613.58915</f>
        <v>5613.5891499999998</v>
      </c>
      <c r="J130" s="244"/>
    </row>
    <row r="131" spans="1:10" ht="13.5" customHeight="1" x14ac:dyDescent="0.2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65.72715</f>
        <v>65.727149999999995</v>
      </c>
      <c r="H131" s="55">
        <f>E131-G131</f>
        <v>434.27285000000001</v>
      </c>
      <c r="I131" s="23">
        <f>117.24305</f>
        <v>117.24305</v>
      </c>
      <c r="J131" s="244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29.62385</f>
        <v>29.623850000000001</v>
      </c>
      <c r="G132" s="95">
        <f>15971.85065+5220.87943</f>
        <v>21192.730080000001</v>
      </c>
      <c r="H132" s="95">
        <f>E132-G132</f>
        <v>31303.269919999999</v>
      </c>
      <c r="I132" s="95">
        <f>38425.71418</f>
        <v>38425.714180000003</v>
      </c>
      <c r="J132" s="116"/>
    </row>
    <row r="133" spans="1:10" ht="15.75" customHeight="1" x14ac:dyDescent="0.25">
      <c r="A133" s="1"/>
      <c r="B133" s="254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1317.49784</v>
      </c>
      <c r="G133" s="94">
        <f t="shared" ref="G133" si="14">G134+G139+G142</f>
        <v>56146.773550000005</v>
      </c>
      <c r="H133" s="94">
        <f>H134+H139+H142</f>
        <v>24018.226449999998</v>
      </c>
      <c r="I133" s="94">
        <f>I134+I139+I142</f>
        <v>64837.94642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1208.077</v>
      </c>
      <c r="G134" s="125">
        <f>G135+G136+G138+G137</f>
        <v>41740.258780000004</v>
      </c>
      <c r="H134" s="125">
        <f>H135+H136+H137+H138</f>
        <v>17338.74122</v>
      </c>
      <c r="I134" s="125">
        <f>I135+I136+I137+I138</f>
        <v>51412.14746</v>
      </c>
      <c r="J134" s="280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244.78695</f>
        <v>244.78694999999999</v>
      </c>
      <c r="G135" s="127">
        <v>9245.0651600000001</v>
      </c>
      <c r="H135" s="127">
        <f>E135-G135</f>
        <v>8528.9348399999999</v>
      </c>
      <c r="I135" s="127">
        <f>8146.9358</f>
        <v>8146.9358000000002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110.98455</f>
        <v>110.98455</v>
      </c>
      <c r="G136" s="127">
        <v>12074.500485</v>
      </c>
      <c r="H136" s="127">
        <f>E136-G136</f>
        <v>2864.4995149999995</v>
      </c>
      <c r="I136" s="127">
        <f>13430.73492</f>
        <v>13430.734920000001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389.1532</f>
        <v>389.15320000000003</v>
      </c>
      <c r="G137" s="127">
        <v>10283.102665</v>
      </c>
      <c r="H137" s="127">
        <f>E137-G137</f>
        <v>2767.8973349999997</v>
      </c>
      <c r="I137" s="127">
        <f>16441.78883</f>
        <v>16441.788830000001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463.1523</f>
        <v>463.15230000000003</v>
      </c>
      <c r="G138" s="127">
        <v>10137.590469999999</v>
      </c>
      <c r="H138" s="127">
        <f>E138-G138</f>
        <v>3177.4095300000008</v>
      </c>
      <c r="I138" s="127">
        <f>13392.68791</f>
        <v>13392.687910000001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3.5545499999999999</v>
      </c>
      <c r="G139" s="132">
        <f>SUM(G140:G141)</f>
        <v>8905.3514200000009</v>
      </c>
      <c r="H139" s="132">
        <f>H140+H141</f>
        <v>24.648579999999129</v>
      </c>
      <c r="I139" s="132">
        <f>SUM(I140:I141)</f>
        <v>7021.8469599999999</v>
      </c>
      <c r="J139" s="133"/>
    </row>
    <row r="140" spans="1:10" ht="14.1" customHeight="1" x14ac:dyDescent="0.25">
      <c r="A140" s="1"/>
      <c r="B140" s="254"/>
      <c r="C140" s="62" t="s">
        <v>66</v>
      </c>
      <c r="D140" s="63">
        <v>8070</v>
      </c>
      <c r="E140" s="63">
        <v>8430</v>
      </c>
      <c r="F140" s="127">
        <f>3.55455</f>
        <v>3.5545499999999999</v>
      </c>
      <c r="G140" s="127">
        <f>8473.99903</f>
        <v>8473.9990300000009</v>
      </c>
      <c r="H140" s="127">
        <f t="shared" ref="H140:H148" si="15">E140-G140</f>
        <v>-43.999030000000857</v>
      </c>
      <c r="I140" s="127">
        <f>6776.22155</f>
        <v>6776.2215500000002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0</f>
        <v>0</v>
      </c>
      <c r="G141" s="127">
        <f>431.35239</f>
        <v>431.35239000000001</v>
      </c>
      <c r="H141" s="127">
        <f t="shared" si="15"/>
        <v>68.647609999999986</v>
      </c>
      <c r="I141" s="127">
        <f>245.62541</f>
        <v>245.62540999999999</v>
      </c>
      <c r="J141" s="134"/>
    </row>
    <row r="142" spans="1:10" ht="15.75" customHeight="1" x14ac:dyDescent="0.25">
      <c r="A142" s="1"/>
      <c r="B142" s="254"/>
      <c r="C142" s="38" t="s">
        <v>11</v>
      </c>
      <c r="D142" s="61">
        <v>10907</v>
      </c>
      <c r="E142" s="61">
        <v>12156</v>
      </c>
      <c r="F142" s="75">
        <f>105.86629</f>
        <v>105.86629000000001</v>
      </c>
      <c r="G142" s="75">
        <f>5501.16335</f>
        <v>5501.1633499999998</v>
      </c>
      <c r="H142" s="75">
        <f t="shared" si="15"/>
        <v>6654.8366500000002</v>
      </c>
      <c r="I142" s="75">
        <f>6403.952</f>
        <v>6403.9520000000002</v>
      </c>
      <c r="J142" s="120"/>
    </row>
    <row r="143" spans="1:10" ht="15.75" customHeight="1" x14ac:dyDescent="0.25">
      <c r="A143" s="1"/>
      <c r="B143" s="254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31.4675</f>
        <v>31.467500000000001</v>
      </c>
      <c r="J143" s="120"/>
    </row>
    <row r="144" spans="1:10" ht="15.75" customHeight="1" x14ac:dyDescent="0.2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25">
      <c r="A145" s="1"/>
      <c r="B145" s="254"/>
      <c r="C145" s="140" t="s">
        <v>69</v>
      </c>
      <c r="D145" s="143">
        <v>2000</v>
      </c>
      <c r="E145" s="143">
        <v>2000</v>
      </c>
      <c r="F145" s="139">
        <f>3.699</f>
        <v>3.6989999999999998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2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4"/>
      <c r="C147" s="142" t="s">
        <v>70</v>
      </c>
      <c r="D147" s="143">
        <v>276</v>
      </c>
      <c r="E147" s="143">
        <v>276</v>
      </c>
      <c r="F147" s="98">
        <f>0.8233</f>
        <v>0.82330000000000003</v>
      </c>
      <c r="G147" s="98">
        <f>47.55071</f>
        <v>47.550710000000002</v>
      </c>
      <c r="H147" s="139">
        <f t="shared" si="15"/>
        <v>228.44928999999999</v>
      </c>
      <c r="I147" s="98">
        <f>27.66943</f>
        <v>27.669429999999998</v>
      </c>
      <c r="J147" s="120"/>
    </row>
    <row r="148" spans="1:10" ht="15" customHeight="1" x14ac:dyDescent="0.25">
      <c r="A148" s="1"/>
      <c r="B148" s="254"/>
      <c r="C148" s="142" t="s">
        <v>39</v>
      </c>
      <c r="D148" s="145"/>
      <c r="E148" s="143"/>
      <c r="F148" s="139">
        <f>0.0464</f>
        <v>4.6399999999999997E-2</v>
      </c>
      <c r="G148" s="139">
        <f>120.05304</f>
        <v>120.05304</v>
      </c>
      <c r="H148" s="139">
        <f t="shared" si="15"/>
        <v>-120.05304</v>
      </c>
      <c r="I148" s="139">
        <f>104.37093</f>
        <v>104.37093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1592.4455599999999</v>
      </c>
      <c r="G150" s="76">
        <f>G128+G132+G133+G143+G144+G145+G146+G147+G148</f>
        <v>124915.4249</v>
      </c>
      <c r="H150" s="76">
        <f>H128+H132+H133+H143+H144+H145+H146+H147+H148</f>
        <v>82724.575100000016</v>
      </c>
      <c r="I150" s="76">
        <f>I128+I132+I133+I143+I144+I145+I146+I147+I148</f>
        <v>155986.80739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133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2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2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25">
      <c r="A156" s="156"/>
      <c r="B156" s="52"/>
      <c r="C156" s="77" t="s">
        <v>134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115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115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115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" customHeight="1" x14ac:dyDescent="0.2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" customHeight="1" x14ac:dyDescent="0.2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" customHeight="1" x14ac:dyDescent="0.2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" customHeight="1" x14ac:dyDescent="0.2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" customHeight="1" x14ac:dyDescent="0.2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2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2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" customHeight="1" x14ac:dyDescent="0.25">
      <c r="A175" s="1"/>
      <c r="B175" s="254"/>
      <c r="C175" s="141" t="s">
        <v>75</v>
      </c>
      <c r="D175" s="94">
        <v>4223</v>
      </c>
      <c r="E175" s="276">
        <f>20.01986</f>
        <v>20.019860000000001</v>
      </c>
      <c r="F175" s="276">
        <f>886.88905</f>
        <v>886.88905</v>
      </c>
      <c r="G175" s="43">
        <f>D175-F175-F176</f>
        <v>1959.8390400000003</v>
      </c>
      <c r="H175" s="276">
        <f>1449.87131</f>
        <v>1449.87131</v>
      </c>
      <c r="I175" s="1"/>
      <c r="J175" s="120"/>
    </row>
    <row r="176" spans="1:10" ht="14.1" customHeight="1" x14ac:dyDescent="0.25">
      <c r="A176" s="1"/>
      <c r="B176" s="254"/>
      <c r="C176" s="137" t="s">
        <v>53</v>
      </c>
      <c r="D176" s="181"/>
      <c r="E176" s="152">
        <f>0</f>
        <v>0</v>
      </c>
      <c r="F176" s="152">
        <f>1376.27191</f>
        <v>1376.2719099999999</v>
      </c>
      <c r="G176" s="217"/>
      <c r="H176" s="152">
        <f>1677.92714</f>
        <v>1677.92714</v>
      </c>
      <c r="I176" s="1"/>
      <c r="J176" s="120"/>
    </row>
    <row r="177" spans="1:10" ht="15.6" customHeight="1" x14ac:dyDescent="0.25">
      <c r="A177" s="1"/>
      <c r="B177" s="254"/>
      <c r="C177" s="169" t="s">
        <v>76</v>
      </c>
      <c r="D177" s="98">
        <v>200</v>
      </c>
      <c r="E177" s="172">
        <f>0</f>
        <v>0</v>
      </c>
      <c r="F177" s="172">
        <f>100.52801</f>
        <v>100.52800999999999</v>
      </c>
      <c r="G177" s="172">
        <f>D177-F177</f>
        <v>99.471990000000005</v>
      </c>
      <c r="H177" s="172">
        <f>74.67994</f>
        <v>74.679940000000002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9.1396800000000002</v>
      </c>
      <c r="F178" s="181">
        <f>F179+F180+F181</f>
        <v>5931.0850099999998</v>
      </c>
      <c r="G178" s="181">
        <f>D178-F178</f>
        <v>402.91499000000022</v>
      </c>
      <c r="H178" s="181">
        <f>H179+H180+H181</f>
        <v>7999.0857100000003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0.87608</f>
        <v>0.87607999999999997</v>
      </c>
      <c r="F179" s="127">
        <f>3086.9545</f>
        <v>3086.9544999999998</v>
      </c>
      <c r="G179" s="127"/>
      <c r="H179" s="127">
        <f>4157.51819</f>
        <v>4157.5181899999998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4.04568</f>
        <v>4.0456799999999999</v>
      </c>
      <c r="F180" s="127">
        <f>1798.85963</f>
        <v>1798.8596299999999</v>
      </c>
      <c r="G180" s="127"/>
      <c r="H180" s="127">
        <f>2445.98353</f>
        <v>2445.98353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4.21792</f>
        <v>4.2179200000000003</v>
      </c>
      <c r="F181" s="192">
        <f>1045.27088</f>
        <v>1045.27088</v>
      </c>
      <c r="G181" s="192"/>
      <c r="H181" s="192">
        <f>1395.58399</f>
        <v>1395.5839900000001</v>
      </c>
      <c r="I181" s="186"/>
      <c r="J181" s="187"/>
    </row>
    <row r="182" spans="1:10" ht="14.1" customHeight="1" x14ac:dyDescent="0.2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2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29.15954</v>
      </c>
      <c r="F184" s="194">
        <f>F175+F176+F177+F178+F182+F183</f>
        <v>8294.7739799999999</v>
      </c>
      <c r="G184" s="194">
        <f>D184-F184</f>
        <v>2528.2260200000001</v>
      </c>
      <c r="H184" s="194">
        <f>H175+H176+H177+H178+H182+H183</f>
        <v>11201.5641</v>
      </c>
      <c r="I184" s="163"/>
      <c r="J184" s="160"/>
    </row>
    <row r="185" spans="1:10" ht="42" customHeight="1" x14ac:dyDescent="0.25">
      <c r="A185" s="1"/>
      <c r="B185" s="198"/>
      <c r="C185" s="227" t="s">
        <v>141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25">
      <c r="A186" s="156" t="s">
        <v>115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115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115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2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4"/>
      <c r="C197" s="101" t="s">
        <v>121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4"/>
      <c r="C198" s="101" t="s">
        <v>122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4"/>
      <c r="C199" s="101" t="s">
        <v>125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2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25">
      <c r="A204" s="1"/>
      <c r="B204" s="254"/>
      <c r="C204" s="90" t="s">
        <v>4</v>
      </c>
      <c r="D204" s="124">
        <v>46282</v>
      </c>
      <c r="E204" s="124">
        <f>335.22888</f>
        <v>335.22888</v>
      </c>
      <c r="F204" s="124">
        <f>39384.36498</f>
        <v>39384.364979999998</v>
      </c>
      <c r="G204" s="124">
        <f>D204-F204</f>
        <v>6897.6350200000015</v>
      </c>
      <c r="H204" s="124">
        <f>40026.76005</f>
        <v>40026.760049999997</v>
      </c>
      <c r="I204" s="248"/>
      <c r="J204" s="120"/>
    </row>
    <row r="205" spans="1:10" ht="15" customHeight="1" x14ac:dyDescent="0.25">
      <c r="A205" s="1"/>
      <c r="B205" s="254"/>
      <c r="C205" s="90" t="s">
        <v>67</v>
      </c>
      <c r="D205" s="124">
        <v>100</v>
      </c>
      <c r="E205" s="124">
        <f>0.201</f>
        <v>0.20100000000000001</v>
      </c>
      <c r="F205" s="124">
        <f>38.97292</f>
        <v>38.972920000000002</v>
      </c>
      <c r="G205" s="124">
        <f>D205-F205</f>
        <v>61.027079999999998</v>
      </c>
      <c r="H205" s="124">
        <f>60.12625</f>
        <v>60.126249999999999</v>
      </c>
      <c r="I205" s="248"/>
      <c r="J205" s="120"/>
    </row>
    <row r="206" spans="1:10" ht="15.75" customHeight="1" x14ac:dyDescent="0.2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25">
      <c r="A207" s="1"/>
      <c r="B207" s="254"/>
      <c r="C207" s="179" t="s">
        <v>87</v>
      </c>
      <c r="D207" s="190">
        <f>SUM(D204:D206)</f>
        <v>46418</v>
      </c>
      <c r="E207" s="190">
        <f>SUM(E204:E206)</f>
        <v>335.42988000000003</v>
      </c>
      <c r="F207" s="190">
        <f>SUM(F204:F206)</f>
        <v>39423.337899999999</v>
      </c>
      <c r="G207" s="190">
        <f>D207-F207</f>
        <v>6994.6621000000014</v>
      </c>
      <c r="H207" s="190">
        <f>SUM(H204:H206)</f>
        <v>40086.886299999998</v>
      </c>
      <c r="I207" s="248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115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35">
      <c r="A243" s="150"/>
      <c r="B243" s="1"/>
      <c r="C243" s="215" t="s">
        <v>117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115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2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25">
      <c r="A249" s="1"/>
      <c r="B249" s="254"/>
      <c r="C249" s="90" t="s">
        <v>123</v>
      </c>
      <c r="D249" s="124">
        <v>3987</v>
      </c>
      <c r="E249" s="75">
        <f>E250+E251</f>
        <v>50.520300000000006</v>
      </c>
      <c r="F249" s="75">
        <f>F250+F251</f>
        <v>4059.22813</v>
      </c>
      <c r="G249" s="75">
        <f>D249-F249</f>
        <v>-72.228129999999965</v>
      </c>
      <c r="H249" s="75">
        <f>H250+H251</f>
        <v>4020.0350600000002</v>
      </c>
      <c r="I249" s="248"/>
      <c r="J249" s="120"/>
    </row>
    <row r="250" spans="1:10" ht="15" customHeight="1" x14ac:dyDescent="0.25">
      <c r="A250" s="1"/>
      <c r="B250" s="254"/>
      <c r="C250" s="177" t="s">
        <v>8</v>
      </c>
      <c r="D250" s="124"/>
      <c r="E250" s="75">
        <f>46.1972</f>
        <v>46.197200000000002</v>
      </c>
      <c r="F250" s="75">
        <f>3526.19434</f>
        <v>3526.19434</v>
      </c>
      <c r="G250" s="75"/>
      <c r="H250" s="75">
        <f>3443.24794</f>
        <v>3443.2479400000002</v>
      </c>
      <c r="I250" s="248"/>
      <c r="J250" s="120"/>
    </row>
    <row r="251" spans="1:10" ht="15" customHeight="1" x14ac:dyDescent="0.25">
      <c r="A251" s="1"/>
      <c r="B251" s="254"/>
      <c r="C251" s="177" t="s">
        <v>67</v>
      </c>
      <c r="D251" s="124"/>
      <c r="E251" s="124">
        <f>4.3231</f>
        <v>4.3231000000000002</v>
      </c>
      <c r="F251" s="124">
        <f>533.03379</f>
        <v>533.03378999999995</v>
      </c>
      <c r="G251" s="168"/>
      <c r="H251" s="124">
        <f>576.78712</f>
        <v>576.78711999999996</v>
      </c>
      <c r="I251" s="248"/>
      <c r="J251" s="120"/>
    </row>
    <row r="252" spans="1:10" ht="15" customHeight="1" x14ac:dyDescent="0.25">
      <c r="A252" s="1"/>
      <c r="B252" s="254"/>
      <c r="C252" s="90" t="s">
        <v>124</v>
      </c>
      <c r="D252" s="124">
        <v>4613</v>
      </c>
      <c r="E252" s="75">
        <f>28.01143</f>
        <v>28.011430000000001</v>
      </c>
      <c r="F252" s="75">
        <f>5153.47787</f>
        <v>5153.4778699999997</v>
      </c>
      <c r="G252" s="75">
        <f>D252-F252</f>
        <v>-540.47786999999971</v>
      </c>
      <c r="H252" s="75">
        <f>5012.38885</f>
        <v>5012.3888500000003</v>
      </c>
      <c r="I252" s="248"/>
      <c r="J252" s="120"/>
    </row>
    <row r="253" spans="1:10" ht="16.5" customHeight="1" x14ac:dyDescent="0.25">
      <c r="A253" s="1"/>
      <c r="B253" s="254"/>
      <c r="C253" s="179" t="s">
        <v>87</v>
      </c>
      <c r="D253" s="190">
        <f>D252+D249</f>
        <v>8600</v>
      </c>
      <c r="E253" s="190">
        <f>SUM(E249,E252)</f>
        <v>78.53173000000001</v>
      </c>
      <c r="F253" s="190">
        <f>SUM(F249,F252)</f>
        <v>9212.7060000000001</v>
      </c>
      <c r="G253" s="190">
        <f>D253-F253</f>
        <v>-612.70600000000013</v>
      </c>
      <c r="H253" s="190">
        <f>SUM(H249,H252)</f>
        <v>9032.4239100000013</v>
      </c>
      <c r="I253" s="248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115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35">
      <c r="A289" s="150"/>
      <c r="B289" s="1"/>
      <c r="C289" s="215" t="s">
        <v>118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115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2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25">
      <c r="A295" s="1"/>
      <c r="B295" s="254"/>
      <c r="C295" s="90" t="s">
        <v>123</v>
      </c>
      <c r="D295" s="124">
        <v>5090</v>
      </c>
      <c r="E295" s="75">
        <f>E296+E297</f>
        <v>44.696100000000001</v>
      </c>
      <c r="F295" s="75">
        <f>F296+F297</f>
        <v>5005.4466199999997</v>
      </c>
      <c r="G295" s="75">
        <f>D295-F295</f>
        <v>84.553380000000288</v>
      </c>
      <c r="H295" s="75">
        <f>H296+H297</f>
        <v>5829.2145399999999</v>
      </c>
      <c r="I295" s="248"/>
      <c r="J295" s="120"/>
    </row>
    <row r="296" spans="1:10" ht="15" customHeight="1" x14ac:dyDescent="0.25">
      <c r="A296" s="1"/>
      <c r="B296" s="254"/>
      <c r="C296" s="177" t="s">
        <v>8</v>
      </c>
      <c r="D296" s="124"/>
      <c r="E296" s="75">
        <f>44.2862</f>
        <v>44.286200000000001</v>
      </c>
      <c r="F296" s="75">
        <f>4549.53893</f>
        <v>4549.5389299999997</v>
      </c>
      <c r="G296" s="75"/>
      <c r="H296" s="75">
        <f>5342.11981</f>
        <v>5342.1198100000001</v>
      </c>
      <c r="I296" s="248"/>
      <c r="J296" s="120"/>
    </row>
    <row r="297" spans="1:10" ht="15" customHeight="1" x14ac:dyDescent="0.25">
      <c r="A297" s="1"/>
      <c r="B297" s="254"/>
      <c r="C297" s="177" t="s">
        <v>67</v>
      </c>
      <c r="D297" s="124"/>
      <c r="E297" s="124">
        <f>0.4099</f>
        <v>0.40989999999999999</v>
      </c>
      <c r="F297" s="124">
        <f>455.90769</f>
        <v>455.90769</v>
      </c>
      <c r="G297" s="168"/>
      <c r="H297" s="124">
        <f>487.09473</f>
        <v>487.09473000000003</v>
      </c>
      <c r="I297" s="248"/>
      <c r="J297" s="120"/>
    </row>
    <row r="298" spans="1:10" ht="15" customHeight="1" x14ac:dyDescent="0.25">
      <c r="A298" s="1"/>
      <c r="B298" s="254"/>
      <c r="C298" s="90" t="s">
        <v>124</v>
      </c>
      <c r="D298" s="124">
        <v>2981</v>
      </c>
      <c r="E298" s="75">
        <f>38.34788</f>
        <v>38.347880000000004</v>
      </c>
      <c r="F298" s="75">
        <f>2517.32727</f>
        <v>2517.3272700000002</v>
      </c>
      <c r="G298" s="75">
        <f>D298-F298</f>
        <v>463.67272999999977</v>
      </c>
      <c r="H298" s="75">
        <f>3148.90314</f>
        <v>3148.9031399999999</v>
      </c>
      <c r="I298" s="248"/>
      <c r="J298" s="120"/>
    </row>
    <row r="299" spans="1:10" ht="16.5" customHeight="1" x14ac:dyDescent="0.25">
      <c r="A299" s="1"/>
      <c r="B299" s="254"/>
      <c r="C299" s="179" t="s">
        <v>87</v>
      </c>
      <c r="D299" s="190">
        <f>D298+D295</f>
        <v>8071</v>
      </c>
      <c r="E299" s="190">
        <f>SUM(E295,E298)</f>
        <v>83.043980000000005</v>
      </c>
      <c r="F299" s="190">
        <f>SUM(F295,F298)</f>
        <v>7522.7738900000004</v>
      </c>
      <c r="G299" s="190">
        <f>D299-F299</f>
        <v>548.22610999999961</v>
      </c>
      <c r="H299" s="190">
        <f>SUM(H295,H298)</f>
        <v>8978.1176799999994</v>
      </c>
      <c r="I299" s="248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115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2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25">
      <c r="A336" s="218" t="s">
        <v>115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" customHeight="1" x14ac:dyDescent="0.2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" customHeight="1" x14ac:dyDescent="0.2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25">
      <c r="A342" s="1"/>
      <c r="B342" s="254"/>
      <c r="C342" s="248" t="s">
        <v>126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2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" customHeight="1" x14ac:dyDescent="0.2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2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28.17754</f>
        <v>28.17754</v>
      </c>
      <c r="F350" s="124">
        <f>542.36639</f>
        <v>542.36639000000002</v>
      </c>
      <c r="G350" s="124">
        <f>D350-F350</f>
        <v>257.63360999999998</v>
      </c>
      <c r="H350" s="124">
        <f>505.90038</f>
        <v>505.90037999999998</v>
      </c>
      <c r="I350" s="67"/>
      <c r="J350" s="244"/>
    </row>
    <row r="351" spans="1:10" ht="14.1" customHeight="1" x14ac:dyDescent="0.25">
      <c r="A351" s="1"/>
      <c r="B351" s="254"/>
      <c r="C351" s="90" t="s">
        <v>94</v>
      </c>
      <c r="D351" s="246">
        <v>3041</v>
      </c>
      <c r="E351" s="124">
        <f>39.27982</f>
        <v>39.279820000000001</v>
      </c>
      <c r="F351" s="124">
        <f>2080.21436</f>
        <v>2080.2143599999999</v>
      </c>
      <c r="G351" s="124">
        <f>D351-F351</f>
        <v>960.78564000000006</v>
      </c>
      <c r="H351" s="124">
        <f>2473.18938</f>
        <v>2473.1893799999998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2.73874</f>
        <v>2.73874</v>
      </c>
      <c r="I352" s="67"/>
      <c r="J352" s="249"/>
    </row>
    <row r="353" spans="1:10" ht="18.75" customHeight="1" x14ac:dyDescent="0.25">
      <c r="A353" s="67"/>
      <c r="B353" s="250"/>
      <c r="C353" s="146" t="s">
        <v>95</v>
      </c>
      <c r="D353" s="222"/>
      <c r="E353" s="168">
        <f>0.157</f>
        <v>0.157</v>
      </c>
      <c r="F353" s="168">
        <f>0.248</f>
        <v>0.248</v>
      </c>
      <c r="G353" s="124">
        <f>D353-F353</f>
        <v>-0.248</v>
      </c>
      <c r="H353" s="168">
        <f>1.7076</f>
        <v>1.7076</v>
      </c>
      <c r="I353" s="284"/>
      <c r="J353" s="120"/>
    </row>
    <row r="354" spans="1:10" ht="14.1" customHeight="1" x14ac:dyDescent="0.25">
      <c r="A354" s="1"/>
      <c r="B354" s="254"/>
      <c r="C354" s="179" t="s">
        <v>87</v>
      </c>
      <c r="D354" s="6">
        <f>D339</f>
        <v>3851</v>
      </c>
      <c r="E354" s="190">
        <f>SUM(E350:E353)</f>
        <v>67.614359999999991</v>
      </c>
      <c r="F354" s="190">
        <f>SUM(F350:F353)</f>
        <v>2626.4383700000003</v>
      </c>
      <c r="G354" s="190">
        <f>D354-F354</f>
        <v>1224.5616299999997</v>
      </c>
      <c r="H354" s="190">
        <f>H350+H351+H352+H353</f>
        <v>2983.5360999999998</v>
      </c>
      <c r="I354" s="1"/>
      <c r="J354" s="120"/>
    </row>
    <row r="355" spans="1:10" ht="14.1" customHeight="1" x14ac:dyDescent="0.2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115</v>
      </c>
    </row>
    <row r="358" spans="1:10" ht="14.1" customHeight="1" x14ac:dyDescent="0.25">
      <c r="A358" s="1" t="s">
        <v>115</v>
      </c>
    </row>
    <row r="359" spans="1:10" ht="14.1" customHeight="1" x14ac:dyDescent="0.25">
      <c r="A359" s="1" t="s">
        <v>115</v>
      </c>
    </row>
    <row r="360" spans="1:10" ht="14.1" customHeight="1" x14ac:dyDescent="0.25">
      <c r="A360" s="1"/>
      <c r="C360" s="150" t="s">
        <v>115</v>
      </c>
    </row>
    <row r="361" spans="1:10" x14ac:dyDescent="0.25">
      <c r="A361" s="1"/>
      <c r="C361" s="150" t="s">
        <v>115</v>
      </c>
    </row>
    <row r="362" spans="1:10" ht="14.1" customHeight="1" x14ac:dyDescent="0.25">
      <c r="A362" s="1"/>
      <c r="C362" s="150" t="s">
        <v>115</v>
      </c>
    </row>
    <row r="363" spans="1:10" ht="14.1" customHeight="1" x14ac:dyDescent="0.25">
      <c r="A363" s="1"/>
      <c r="C363" s="150" t="s">
        <v>115</v>
      </c>
    </row>
    <row r="364" spans="1:10" ht="30" customHeight="1" x14ac:dyDescent="0.3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137</v>
      </c>
      <c r="D373" s="178"/>
      <c r="E373" s="178"/>
      <c r="F373" s="178"/>
      <c r="G373" s="1"/>
      <c r="H373" s="178"/>
      <c r="I373" s="178"/>
      <c r="J373" s="244"/>
    </row>
    <row r="374" spans="1:10" ht="13.35" customHeight="1" x14ac:dyDescent="0.25">
      <c r="B374" s="72"/>
      <c r="C374" s="212" t="s">
        <v>138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2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25">
      <c r="B379" s="72"/>
      <c r="C379" s="223" t="s">
        <v>16</v>
      </c>
      <c r="D379" s="232" t="s">
        <v>17</v>
      </c>
      <c r="E379" s="68" t="s">
        <v>103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" customHeight="1" x14ac:dyDescent="0.2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1163.1424900000002</v>
      </c>
      <c r="G380" s="253">
        <f t="shared" si="17"/>
        <v>15348.09981</v>
      </c>
      <c r="H380" s="253">
        <f>H384+H383+H382+H381</f>
        <v>7620.9001899999994</v>
      </c>
      <c r="I380" s="253">
        <f t="shared" si="17"/>
        <v>14515.425710000001</v>
      </c>
      <c r="J380" s="130"/>
    </row>
    <row r="381" spans="1:10" ht="14.1" customHeight="1" x14ac:dyDescent="0.25">
      <c r="A381" s="218"/>
      <c r="B381" s="72"/>
      <c r="C381" s="255" t="s">
        <v>104</v>
      </c>
      <c r="D381" s="256">
        <v>12051</v>
      </c>
      <c r="E381" s="256">
        <v>13190</v>
      </c>
      <c r="F381" s="257">
        <f>1112.13289</f>
        <v>1112.1328900000001</v>
      </c>
      <c r="G381" s="257">
        <f>9401.2548</f>
        <v>9401.2548000000006</v>
      </c>
      <c r="H381" s="257">
        <f t="shared" ref="H381:H385" si="18">E381-G381</f>
        <v>3788.7451999999994</v>
      </c>
      <c r="I381" s="257">
        <f>8730.95007</f>
        <v>8730.9500700000008</v>
      </c>
      <c r="J381" s="130"/>
    </row>
    <row r="382" spans="1:10" ht="14.1" customHeight="1" x14ac:dyDescent="0.25">
      <c r="A382" s="218"/>
      <c r="B382" s="72"/>
      <c r="C382" s="260" t="s">
        <v>21</v>
      </c>
      <c r="D382" s="256">
        <v>3136</v>
      </c>
      <c r="E382" s="256">
        <v>3433</v>
      </c>
      <c r="F382" s="257">
        <f>0</f>
        <v>0</v>
      </c>
      <c r="G382" s="257">
        <f>1868.18502</f>
        <v>1868.1850199999999</v>
      </c>
      <c r="H382" s="257">
        <f t="shared" si="18"/>
        <v>1564.8149800000001</v>
      </c>
      <c r="I382" s="257">
        <f>1238.34555</f>
        <v>1238.34555</v>
      </c>
      <c r="J382" s="130"/>
    </row>
    <row r="383" spans="1:10" ht="14.1" customHeight="1" x14ac:dyDescent="0.25">
      <c r="A383" s="218"/>
      <c r="B383" s="72"/>
      <c r="C383" s="260" t="s">
        <v>100</v>
      </c>
      <c r="D383" s="256">
        <v>1454</v>
      </c>
      <c r="E383" s="256">
        <v>1483</v>
      </c>
      <c r="F383" s="257">
        <f>15.6534</f>
        <v>15.6534</v>
      </c>
      <c r="G383" s="257">
        <f>1729.66953</f>
        <v>1729.6695299999999</v>
      </c>
      <c r="H383" s="257">
        <f t="shared" si="18"/>
        <v>-246.6695299999999</v>
      </c>
      <c r="I383" s="257">
        <f>1732.10059</f>
        <v>1732.10059</v>
      </c>
      <c r="J383" s="130"/>
    </row>
    <row r="384" spans="1:10" ht="14.1" customHeight="1" x14ac:dyDescent="0.25">
      <c r="A384" s="218"/>
      <c r="B384" s="72"/>
      <c r="C384" s="262" t="s">
        <v>105</v>
      </c>
      <c r="D384" s="263">
        <v>4867</v>
      </c>
      <c r="E384" s="263">
        <v>4863</v>
      </c>
      <c r="F384" s="257">
        <f>35.3562</f>
        <v>35.356200000000001</v>
      </c>
      <c r="G384" s="257">
        <f>2348.99046</f>
        <v>2348.99046</v>
      </c>
      <c r="H384" s="257">
        <f t="shared" si="18"/>
        <v>2514.00954</v>
      </c>
      <c r="I384" s="257">
        <f>2814.0295</f>
        <v>2814.0295000000001</v>
      </c>
      <c r="J384" s="130"/>
    </row>
    <row r="385" spans="1:10" ht="14.1" customHeight="1" x14ac:dyDescent="0.25">
      <c r="A385" s="218"/>
      <c r="B385" s="72"/>
      <c r="C385" s="265" t="s">
        <v>59</v>
      </c>
      <c r="D385" s="266">
        <v>5500</v>
      </c>
      <c r="E385" s="266">
        <v>5500</v>
      </c>
      <c r="F385" s="268">
        <f>4.746</f>
        <v>4.7460000000000004</v>
      </c>
      <c r="G385" s="268">
        <f>2152.95378</f>
        <v>2152.9537799999998</v>
      </c>
      <c r="H385" s="268">
        <f t="shared" si="18"/>
        <v>3347.0462200000002</v>
      </c>
      <c r="I385" s="268">
        <f>5108.15528</f>
        <v>5108.1552799999999</v>
      </c>
      <c r="J385" s="130"/>
    </row>
    <row r="386" spans="1:10" ht="14.1" customHeight="1" x14ac:dyDescent="0.2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159.11436</v>
      </c>
      <c r="G386" s="269">
        <f>G388+G387</f>
        <v>3024.9789900000001</v>
      </c>
      <c r="H386" s="269">
        <f>E386-G386</f>
        <v>4975.0210100000004</v>
      </c>
      <c r="I386" s="269">
        <f>I388+I387</f>
        <v>3679.7445499999999</v>
      </c>
      <c r="J386" s="130"/>
    </row>
    <row r="387" spans="1:10" ht="14.1" customHeight="1" x14ac:dyDescent="0.25">
      <c r="A387" s="218"/>
      <c r="B387" s="72"/>
      <c r="C387" s="260" t="s">
        <v>53</v>
      </c>
      <c r="D387" s="271"/>
      <c r="E387" s="256"/>
      <c r="F387" s="257">
        <f>18.09</f>
        <v>18.09</v>
      </c>
      <c r="G387" s="257">
        <f>918.83358</f>
        <v>918.83357999999998</v>
      </c>
      <c r="H387" s="257"/>
      <c r="I387" s="257">
        <f>847.45358</f>
        <v>847.45357999999999</v>
      </c>
      <c r="J387" s="130"/>
    </row>
    <row r="388" spans="1:10" ht="14.1" customHeight="1" x14ac:dyDescent="0.25">
      <c r="A388" s="218"/>
      <c r="B388" s="72"/>
      <c r="C388" s="273" t="s">
        <v>106</v>
      </c>
      <c r="D388" s="274"/>
      <c r="E388" s="277"/>
      <c r="F388" s="278">
        <f>141.02436</f>
        <v>141.02436</v>
      </c>
      <c r="G388" s="278">
        <f>2106.14541</f>
        <v>2106.1454100000001</v>
      </c>
      <c r="H388" s="278"/>
      <c r="I388" s="278">
        <f>2832.29097</f>
        <v>2832.29097</v>
      </c>
      <c r="J388" s="130"/>
    </row>
    <row r="389" spans="1:10" ht="14.1" customHeight="1" x14ac:dyDescent="0.2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0.1164</f>
        <v>0.1164</v>
      </c>
      <c r="H389" s="268">
        <f>E389-G389</f>
        <v>12.883599999999999</v>
      </c>
      <c r="I389" s="268">
        <f>0.0735</f>
        <v>7.3499999999999996E-2</v>
      </c>
      <c r="J389" s="130"/>
    </row>
    <row r="390" spans="1:10" ht="14.1" customHeight="1" x14ac:dyDescent="0.25">
      <c r="A390" s="218"/>
      <c r="B390" s="72"/>
      <c r="C390" s="279" t="s">
        <v>107</v>
      </c>
      <c r="D390" s="282"/>
      <c r="E390" s="283"/>
      <c r="F390" s="268">
        <f>0.7902</f>
        <v>0.79020000000000001</v>
      </c>
      <c r="G390" s="268">
        <f>104.87171</f>
        <v>104.87170999999999</v>
      </c>
      <c r="H390" s="268">
        <f>E390-G390</f>
        <v>-104.87170999999999</v>
      </c>
      <c r="I390" s="268">
        <f>115.96874</f>
        <v>115.96874</v>
      </c>
      <c r="J390" s="130"/>
    </row>
    <row r="391" spans="1:10" ht="19.5" customHeight="1" x14ac:dyDescent="0.2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1327.7930500000002</v>
      </c>
      <c r="G391" s="287">
        <f t="shared" si="19"/>
        <v>20631.020689999998</v>
      </c>
      <c r="H391" s="287">
        <f>H380+H385+H386+H389+H390</f>
        <v>15850.979310000001</v>
      </c>
      <c r="I391" s="287">
        <f t="shared" si="19"/>
        <v>23419.36778</v>
      </c>
      <c r="J391" s="130"/>
    </row>
    <row r="392" spans="1:10" ht="14.1" customHeight="1" x14ac:dyDescent="0.25">
      <c r="A392" s="218"/>
      <c r="B392" s="72"/>
      <c r="C392" s="161" t="s">
        <v>108</v>
      </c>
      <c r="D392" s="289"/>
      <c r="E392" s="289"/>
      <c r="F392" s="4"/>
      <c r="G392" s="4"/>
      <c r="H392" s="5"/>
      <c r="I392" s="5"/>
      <c r="J392" s="130"/>
    </row>
    <row r="393" spans="1:10" ht="14.1" customHeight="1" x14ac:dyDescent="0.25">
      <c r="A393" s="218"/>
      <c r="B393" s="72"/>
      <c r="C393" s="101" t="s">
        <v>136</v>
      </c>
      <c r="D393" s="289"/>
      <c r="E393" s="289"/>
      <c r="F393" s="4"/>
      <c r="G393" s="4"/>
      <c r="H393" s="7"/>
      <c r="I393" s="5"/>
      <c r="J393" s="130"/>
    </row>
    <row r="394" spans="1:10" ht="14.1" customHeight="1" x14ac:dyDescent="0.25">
      <c r="A394" s="218"/>
      <c r="B394" s="72"/>
      <c r="C394" s="101" t="s">
        <v>135</v>
      </c>
      <c r="D394" s="289"/>
      <c r="E394" s="289"/>
      <c r="F394" s="4"/>
      <c r="G394" s="4"/>
      <c r="H394" s="5"/>
      <c r="I394" s="7"/>
      <c r="J394" s="130"/>
    </row>
    <row r="395" spans="1:10" ht="15.75" customHeight="1" x14ac:dyDescent="0.2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8"/>
      <c r="B396" s="150" t="s">
        <v>115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8"/>
      <c r="B397" s="150" t="s">
        <v>115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8"/>
      <c r="C398" s="150" t="s">
        <v>115</v>
      </c>
      <c r="D398" s="156"/>
    </row>
    <row r="399" spans="1:10" ht="14.1" customHeight="1" x14ac:dyDescent="0.2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" customHeight="1" x14ac:dyDescent="0.25">
      <c r="A400" s="218"/>
      <c r="B400" s="72"/>
      <c r="C400" s="219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" customHeight="1" x14ac:dyDescent="0.2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8"/>
      <c r="B407" s="72"/>
      <c r="C407" s="308" t="s">
        <v>142</v>
      </c>
      <c r="D407" s="308"/>
      <c r="E407" s="308"/>
      <c r="F407" s="308"/>
      <c r="G407" s="214"/>
      <c r="H407" s="214"/>
      <c r="I407" s="150"/>
      <c r="J407" s="130"/>
    </row>
    <row r="408" spans="1:10" ht="14.1" customHeight="1" x14ac:dyDescent="0.2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" customHeight="1" x14ac:dyDescent="0.2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25">
      <c r="A412" s="218"/>
      <c r="B412" s="198"/>
      <c r="C412" s="20" t="s">
        <v>110</v>
      </c>
      <c r="D412" s="22" t="s">
        <v>111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" customHeight="1" x14ac:dyDescent="0.25">
      <c r="A413" s="218"/>
      <c r="B413" s="72"/>
      <c r="C413" s="265" t="s">
        <v>112</v>
      </c>
      <c r="D413" s="204">
        <v>894</v>
      </c>
      <c r="E413" s="26">
        <f>SUM(E414:E415)</f>
        <v>45.9285</v>
      </c>
      <c r="F413" s="26">
        <f>SUM(F414:F415)</f>
        <v>761.13427999999999</v>
      </c>
      <c r="G413" s="85">
        <f>D413-F413</f>
        <v>132.86572000000001</v>
      </c>
      <c r="H413" s="26">
        <f>SUM(H414:H415)</f>
        <v>717.81497999999999</v>
      </c>
      <c r="I413" s="27"/>
      <c r="J413" s="130"/>
    </row>
    <row r="414" spans="1:10" ht="14.1" customHeight="1" x14ac:dyDescent="0.25">
      <c r="A414" s="218"/>
      <c r="B414" s="72"/>
      <c r="C414" s="29" t="s">
        <v>8</v>
      </c>
      <c r="E414" s="205">
        <f>32.1115</f>
        <v>32.111499999999999</v>
      </c>
      <c r="F414" s="205">
        <f>582.96658</f>
        <v>582.96658000000002</v>
      </c>
      <c r="G414" s="206"/>
      <c r="H414" s="205">
        <f>555.59808</f>
        <v>555.59807999999998</v>
      </c>
      <c r="I414" s="150"/>
      <c r="J414" s="130"/>
    </row>
    <row r="415" spans="1:10" ht="14.1" customHeight="1" x14ac:dyDescent="0.25">
      <c r="A415" s="218"/>
      <c r="B415" s="72"/>
      <c r="C415" s="29" t="s">
        <v>11</v>
      </c>
      <c r="D415" s="207"/>
      <c r="E415" s="208">
        <f>13.817</f>
        <v>13.817</v>
      </c>
      <c r="F415" s="208">
        <f>178.1677</f>
        <v>178.1677</v>
      </c>
      <c r="G415" s="209"/>
      <c r="H415" s="208">
        <f>162.2169</f>
        <v>162.21690000000001</v>
      </c>
      <c r="I415" s="150"/>
      <c r="J415" s="130"/>
    </row>
    <row r="416" spans="1:10" ht="14.1" customHeight="1" x14ac:dyDescent="0.25">
      <c r="A416" s="218"/>
      <c r="B416" s="72"/>
      <c r="C416" s="265" t="s">
        <v>113</v>
      </c>
      <c r="D416" s="10">
        <v>894</v>
      </c>
      <c r="E416" s="26">
        <f>SUM(E417:E418)</f>
        <v>0</v>
      </c>
      <c r="F416" s="26">
        <f>SUM(F417:F418)</f>
        <v>0</v>
      </c>
      <c r="G416" s="85">
        <f>D416-F416</f>
        <v>894</v>
      </c>
      <c r="H416" s="26">
        <f>SUM(H417:H418)</f>
        <v>0</v>
      </c>
      <c r="I416" s="27"/>
      <c r="J416" s="130"/>
    </row>
    <row r="417" spans="1:10" ht="14.1" customHeight="1" x14ac:dyDescent="0.25">
      <c r="A417" s="218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" customHeight="1" x14ac:dyDescent="0.25">
      <c r="A418" s="218"/>
      <c r="B418" s="72"/>
      <c r="C418" s="29" t="s">
        <v>11</v>
      </c>
      <c r="D418" s="221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" customHeight="1" x14ac:dyDescent="0.25">
      <c r="A419" s="218"/>
      <c r="B419" s="72"/>
      <c r="C419" s="265" t="s">
        <v>114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" customHeight="1" x14ac:dyDescent="0.2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45.9285</v>
      </c>
      <c r="F423" s="40">
        <f>F413+F416+F419+F422</f>
        <v>761.13427999999999</v>
      </c>
      <c r="G423" s="41">
        <f>D423-F423</f>
        <v>1919.86572</v>
      </c>
      <c r="H423" s="40">
        <f>H413+H416+H419+H422</f>
        <v>717.81497999999999</v>
      </c>
      <c r="I423" s="27"/>
      <c r="J423" s="130"/>
    </row>
    <row r="424" spans="1:10" ht="42" customHeight="1" x14ac:dyDescent="0.25">
      <c r="A424" s="218"/>
      <c r="B424" s="72"/>
      <c r="C424" s="301" t="s">
        <v>119</v>
      </c>
      <c r="D424" s="301"/>
      <c r="E424" s="301"/>
      <c r="F424" s="301"/>
      <c r="G424" s="301"/>
      <c r="H424" s="301"/>
      <c r="I424" s="301"/>
      <c r="J424" s="302"/>
    </row>
    <row r="425" spans="1:10" ht="14.1" customHeight="1" x14ac:dyDescent="0.2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5"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38&amp;R23.09.2024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Lars Krogstad</cp:lastModifiedBy>
  <cp:lastPrinted>2022-11-14T12:51:47Z</cp:lastPrinted>
  <dcterms:created xsi:type="dcterms:W3CDTF">2022-08-01T13:23:35Z</dcterms:created>
  <dcterms:modified xsi:type="dcterms:W3CDTF">2024-09-23T07:01:28Z</dcterms:modified>
</cp:coreProperties>
</file>