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CE8165C6-0FB9-457D-851E-A9FCEC833A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H345" i="1"/>
  <c r="G345" i="1"/>
  <c r="F345" i="1"/>
  <c r="E345" i="1"/>
  <c r="D345" i="1"/>
  <c r="G344" i="1"/>
  <c r="G343" i="1"/>
  <c r="E336" i="1"/>
  <c r="D324" i="1"/>
  <c r="H323" i="1"/>
  <c r="H324" i="1" s="1"/>
  <c r="F323" i="1"/>
  <c r="F324" i="1" s="1"/>
  <c r="E323" i="1"/>
  <c r="E324" i="1" s="1"/>
  <c r="H322" i="1"/>
  <c r="G322" i="1"/>
  <c r="F322" i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H266" i="1"/>
  <c r="G266" i="1"/>
  <c r="F266" i="1"/>
  <c r="I265" i="1"/>
  <c r="I262" i="1" s="1"/>
  <c r="I273" i="1" s="1"/>
  <c r="G265" i="1"/>
  <c r="G262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E262" i="1"/>
  <c r="E273" i="1" s="1"/>
  <c r="D262" i="1"/>
  <c r="H254" i="1"/>
  <c r="F254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E237" i="1"/>
  <c r="E241" i="1" s="1"/>
  <c r="D219" i="1"/>
  <c r="H218" i="1"/>
  <c r="F218" i="1"/>
  <c r="G218" i="1" s="1"/>
  <c r="E218" i="1"/>
  <c r="H217" i="1"/>
  <c r="F217" i="1"/>
  <c r="F215" i="1" s="1"/>
  <c r="E217" i="1"/>
  <c r="E215" i="1" s="1"/>
  <c r="E219" i="1" s="1"/>
  <c r="H216" i="1"/>
  <c r="F216" i="1"/>
  <c r="E216" i="1"/>
  <c r="H215" i="1"/>
  <c r="H219" i="1" s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E203" i="1"/>
  <c r="E202" i="1" s="1"/>
  <c r="E206" i="1" s="1"/>
  <c r="G202" i="1"/>
  <c r="F202" i="1"/>
  <c r="F206" i="1" s="1"/>
  <c r="G192" i="1"/>
  <c r="H192" i="1" s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H189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H164" i="1"/>
  <c r="H163" i="1" s="1"/>
  <c r="H169" i="1" s="1"/>
  <c r="F164" i="1"/>
  <c r="E164" i="1"/>
  <c r="F163" i="1"/>
  <c r="G163" i="1" s="1"/>
  <c r="H162" i="1"/>
  <c r="F162" i="1"/>
  <c r="G162" i="1" s="1"/>
  <c r="E162" i="1"/>
  <c r="H161" i="1"/>
  <c r="F161" i="1"/>
  <c r="E161" i="1"/>
  <c r="H160" i="1"/>
  <c r="F160" i="1"/>
  <c r="F169" i="1" s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I126" i="1" s="1"/>
  <c r="I120" i="1" s="1"/>
  <c r="G127" i="1"/>
  <c r="H127" i="1" s="1"/>
  <c r="H126" i="1" s="1"/>
  <c r="F127" i="1"/>
  <c r="F126" i="1"/>
  <c r="E126" i="1"/>
  <c r="E120" i="1" s="1"/>
  <c r="D126" i="1"/>
  <c r="I125" i="1"/>
  <c r="H125" i="1"/>
  <c r="F125" i="1"/>
  <c r="I124" i="1"/>
  <c r="G124" i="1"/>
  <c r="H124" i="1" s="1"/>
  <c r="F124" i="1"/>
  <c r="I123" i="1"/>
  <c r="G123" i="1"/>
  <c r="H123" i="1" s="1"/>
  <c r="F123" i="1"/>
  <c r="I122" i="1"/>
  <c r="G122" i="1"/>
  <c r="F122" i="1"/>
  <c r="F121" i="1" s="1"/>
  <c r="F120" i="1" s="1"/>
  <c r="F137" i="1" s="1"/>
  <c r="I121" i="1"/>
  <c r="E121" i="1"/>
  <c r="D121" i="1"/>
  <c r="D120" i="1" s="1"/>
  <c r="I119" i="1"/>
  <c r="H119" i="1"/>
  <c r="F119" i="1"/>
  <c r="I118" i="1"/>
  <c r="G118" i="1"/>
  <c r="H118" i="1" s="1"/>
  <c r="F118" i="1"/>
  <c r="I117" i="1"/>
  <c r="G117" i="1"/>
  <c r="G115" i="1" s="1"/>
  <c r="F117" i="1"/>
  <c r="I116" i="1"/>
  <c r="I115" i="1" s="1"/>
  <c r="G116" i="1"/>
  <c r="H116" i="1" s="1"/>
  <c r="F116" i="1"/>
  <c r="F115" i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I83" i="1" s="1"/>
  <c r="I82" i="1" s="1"/>
  <c r="H84" i="1"/>
  <c r="H83" i="1" s="1"/>
  <c r="H82" i="1" s="1"/>
  <c r="G84" i="1"/>
  <c r="G83" i="1" s="1"/>
  <c r="G82" i="1" s="1"/>
  <c r="G94" i="1" s="1"/>
  <c r="F84" i="1"/>
  <c r="F83" i="1" s="1"/>
  <c r="F82" i="1" s="1"/>
  <c r="F94" i="1" s="1"/>
  <c r="E83" i="1"/>
  <c r="E82" i="1" s="1"/>
  <c r="D83" i="1"/>
  <c r="D82" i="1" s="1"/>
  <c r="I81" i="1"/>
  <c r="H81" i="1"/>
  <c r="H79" i="1" s="1"/>
  <c r="H94" i="1" s="1"/>
  <c r="G81" i="1"/>
  <c r="F81" i="1"/>
  <c r="I80" i="1"/>
  <c r="H80" i="1"/>
  <c r="G80" i="1"/>
  <c r="F80" i="1"/>
  <c r="I79" i="1"/>
  <c r="G79" i="1"/>
  <c r="F79" i="1"/>
  <c r="E79" i="1"/>
  <c r="D79" i="1"/>
  <c r="C76" i="1"/>
  <c r="H72" i="1"/>
  <c r="F72" i="1"/>
  <c r="D72" i="1"/>
  <c r="H58" i="1"/>
  <c r="H57" i="1"/>
  <c r="I52" i="1"/>
  <c r="H52" i="1"/>
  <c r="G52" i="1"/>
  <c r="F5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H35" i="1" s="1"/>
  <c r="F35" i="1"/>
  <c r="I34" i="1"/>
  <c r="I33" i="1" s="1"/>
  <c r="G34" i="1"/>
  <c r="H34" i="1" s="1"/>
  <c r="F34" i="1"/>
  <c r="E33" i="1"/>
  <c r="D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I26" i="1" s="1"/>
  <c r="H27" i="1"/>
  <c r="H26" i="1" s="1"/>
  <c r="G27" i="1"/>
  <c r="G26" i="1" s="1"/>
  <c r="F27" i="1"/>
  <c r="F26" i="1" s="1"/>
  <c r="E26" i="1"/>
  <c r="E25" i="1" s="1"/>
  <c r="D26" i="1"/>
  <c r="D25" i="1" s="1"/>
  <c r="I24" i="1"/>
  <c r="I22" i="1" s="1"/>
  <c r="H24" i="1"/>
  <c r="G24" i="1"/>
  <c r="F24" i="1"/>
  <c r="I23" i="1"/>
  <c r="H23" i="1"/>
  <c r="G23" i="1"/>
  <c r="F23" i="1"/>
  <c r="H22" i="1"/>
  <c r="G22" i="1"/>
  <c r="F22" i="1"/>
  <c r="E22" i="1"/>
  <c r="D22" i="1"/>
  <c r="H16" i="1"/>
  <c r="F16" i="1"/>
  <c r="D16" i="1"/>
  <c r="G121" i="1" l="1"/>
  <c r="G33" i="1"/>
  <c r="G25" i="1" s="1"/>
  <c r="G42" i="1" s="1"/>
  <c r="F42" i="1"/>
  <c r="F33" i="1"/>
  <c r="F25" i="1" s="1"/>
  <c r="E42" i="1"/>
  <c r="E94" i="1"/>
  <c r="F219" i="1"/>
  <c r="G215" i="1"/>
  <c r="H115" i="1"/>
  <c r="G273" i="1"/>
  <c r="I42" i="1"/>
  <c r="I94" i="1"/>
  <c r="I25" i="1"/>
  <c r="I137" i="1"/>
  <c r="G169" i="1"/>
  <c r="G206" i="1"/>
  <c r="F304" i="1"/>
  <c r="G294" i="1"/>
  <c r="G304" i="1"/>
  <c r="G241" i="1"/>
  <c r="D42" i="1"/>
  <c r="D94" i="1"/>
  <c r="G219" i="1"/>
  <c r="H265" i="1"/>
  <c r="H262" i="1" s="1"/>
  <c r="H273" i="1" s="1"/>
  <c r="G323" i="1"/>
  <c r="G324" i="1" s="1"/>
  <c r="H117" i="1"/>
  <c r="H122" i="1"/>
  <c r="H121" i="1" s="1"/>
  <c r="H120" i="1" s="1"/>
  <c r="G126" i="1"/>
  <c r="G120" i="1" s="1"/>
  <c r="G137" i="1" s="1"/>
  <c r="G237" i="1"/>
  <c r="G160" i="1"/>
  <c r="H33" i="1" l="1"/>
  <c r="H25" i="1" s="1"/>
  <c r="H42" i="1" s="1"/>
  <c r="H137" i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<sst xmlns="http://schemas.openxmlformats.org/spreadsheetml/2006/main" count="392" uniqueCount="166">
  <si>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</si>
  <si>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</si>
  <si>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</si>
  <si>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</si>
  <si>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</si>
  <si>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</si>
  <si>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</si>
  <si>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</si>
  <si>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</si>
  <si>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</si>
  <si>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</si>
  <si>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</si>
  <si>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</si>
  <si>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</si>
  <si>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</si>
  <si>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</si>
  <si>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</si>
  <si>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</si>
  <si>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</si>
  <si>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</si>
  <si>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</si>
  <si>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</si>
  <si>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</si>
  <si>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</si>
  <si>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</si>
  <si>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</si>
  <si>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</si>
  <si>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</si>
  <si>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</si>
  <si>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</si>
  <si>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</si>
  <si>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</si>
  <si>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</si>
  <si>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</si>
  <si>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</si>
  <si>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</si>
  <si>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</si>
  <si>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</si>
  <si>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</si>
  <si>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</si>
  <si>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</si>
  <si>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</si>
  <si>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</si>
  <si>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</si>
  <si>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</si>
  <si>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</si>
  <si>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</si>
  <si>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</si>
  <si>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</si>
  <si>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</si>
  <si>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</si>
  <si>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</si>
  <si>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</si>
  <si>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</si>
  <si>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</si>
  <si>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</si>
  <si>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</si>
  <si>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</si>
  <si>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</si>
  <si>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</si>
  <si>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</si>
  <si>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</si>
  <si>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</si>
  <si>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</si>
  <si>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</si>
  <si>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</si>
  <si>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</si>
  <si>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</si>
  <si>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</si>
  <si>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</si>
  <si>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</si>
  <si>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</si>
  <si>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</si>
  <si>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</si>
  <si>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</si>
  <si>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</si>
  <si>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</si>
  <si>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</si>
  <si>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</si>
  <si>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</si>
  <si>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</si>
  <si>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</si>
  <si>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</si>
  <si>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</si>
  <si>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</si>
  <si>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</si>
  <si>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</si>
  <si>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</si>
  <si>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</si>
  <si>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</si>
  <si>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</si>
  <si>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</si>
  <si>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</si>
  <si>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</si>
  <si>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</si>
  <si>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</si>
  <si>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</si>
  <si>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</si>
  <si>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</si>
  <si>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</si>
  <si>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</si>
  <si>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</si>
  <si>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</si>
  <si>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</si>
  <si>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</si>
  <si>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</si>
  <si>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</si>
  <si>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</si>
  <si>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</si>
  <si>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</si>
  <si>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</si>
  <si>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</si>
  <si>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</si>
  <si>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</si>
  <si>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</si>
  <si>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</si>
  <si>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</si>
  <si>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</si>
  <si>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</si>
  <si>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</si>
  <si>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</si>
  <si>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</si>
  <si>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</si>
  <si>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</si>
  <si>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</si>
  <si>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</si>
  <si>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</si>
  <si>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</si>
  <si>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</si>
  <si>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</si>
  <si>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</si>
  <si>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</si>
  <si>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</si>
  <si>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</si>
  <si>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</si>
  <si>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</si>
  <si>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</si>
  <si>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</si>
  <si>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</si>
  <si>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</si>
  <si>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</si>
  <si>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</si>
  <si>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</si>
  <si>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</si>
  <si>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</si>
  <si>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</si>
  <si>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</si>
  <si>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</si>
  <si>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</si>
  <si>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</si>
  <si>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</si>
  <si>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</si>
  <si>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</si>
  <si>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</si>
  <si>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</si>
  <si>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</si>
  <si>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</si>
  <si>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</si>
  <si>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36 tonn, men det legges til grunn at hele avsetningen tas</t>
  </si>
  <si>
    <t>4 Registrert rekreasjonsfiske utgjør 211 tonn, men det legges til grunn at hele avsetningen tas</t>
  </si>
  <si>
    <t>3 Registrert rekreasjonsfiske utgjør 645 tonn, men det legges til grunn at hele avsetningen tas</t>
  </si>
  <si>
    <t>FANGST UKE 24</t>
  </si>
  <si>
    <t>FANGST T.O.M UKE 24</t>
  </si>
  <si>
    <t>RESTKVOTER UKE 24</t>
  </si>
  <si>
    <t>FANGST T.O.M UKE 24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</si>
  <si>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563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</si>
</sst>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95" zoomScale="115" zoomScaleNormal="115" zoomScaleSheetLayoutView="100" zoomScalePageLayoutView="85" workbookViewId="0">
      <selection activeCell="I302" sqref="I302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528.59064000000001</v>
      </c>
      <c r="G22" s="27">
        <f t="shared" si="0"/>
        <v>14946.947110000001</v>
      </c>
      <c r="H22" s="10">
        <f>H24+H23</f>
        <v>18485.052889999999</v>
      </c>
      <c r="I22" s="10">
        <f t="shared" si="0"/>
        <v>19810.862859999997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498.01314</f>
        <v>498.01314000000002</v>
      </c>
      <c r="G23" s="22">
        <f>14549.28211</f>
        <v>14549.28211</v>
      </c>
      <c r="H23" s="22">
        <f>E23-G23</f>
        <v>18139.71789</v>
      </c>
      <c r="I23" s="22">
        <f>19500.12721</f>
        <v>19500.127209999999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30.5775</f>
        <v>30.577500000000001</v>
      </c>
      <c r="G24" s="22">
        <f>397.665</f>
        <v>397.66500000000002</v>
      </c>
      <c r="H24" s="22">
        <f>E24-G24</f>
        <v>345.33499999999998</v>
      </c>
      <c r="I24" s="22">
        <f>310.73565</f>
        <v>310.73565000000002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306.49298999999996</v>
      </c>
      <c r="G25" s="10">
        <f t="shared" si="1"/>
        <v>79759.880059999909</v>
      </c>
      <c r="H25" s="10">
        <f>H33+H32+H26</f>
        <v>18282.119940000099</v>
      </c>
      <c r="I25" s="10">
        <f t="shared" si="1"/>
        <v>96944.014949999997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205.17874</v>
      </c>
      <c r="G26" s="129">
        <f>G27+G28+G29+G30+G31</f>
        <v>65026.763080000004</v>
      </c>
      <c r="H26" s="129">
        <f>H27+H28+H29+H30+H31</f>
        <v>12831.236919999999</v>
      </c>
      <c r="I26" s="129">
        <f t="shared" ref="I26" si="2">I27+I28+I29+I30+I31</f>
        <v>78035.789420000001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49.46509 - F53</f>
        <v>49.465089999999996</v>
      </c>
      <c r="G27" s="123">
        <f>19138.08533 - G53</f>
        <v>19138.085330000002</v>
      </c>
      <c r="H27" s="123">
        <f t="shared" ref="H27:H41" si="3">E27-G27</f>
        <v>1729.9146699999983</v>
      </c>
      <c r="I27" s="123">
        <f>22231.76533 - I53</f>
        <v>22231.765329999998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43.35041 - F54</f>
        <v>43.350409999999997</v>
      </c>
      <c r="G28" s="123">
        <f>18446.01878 - G54</f>
        <v>18446.018779999999</v>
      </c>
      <c r="H28" s="123">
        <f t="shared" si="3"/>
        <v>1273.9812200000015</v>
      </c>
      <c r="I28" s="123">
        <f>21683.20989 - I54</f>
        <v>21683.209889999998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97.39616 - F55</f>
        <v>97.396159999999995</v>
      </c>
      <c r="G29" s="123">
        <f>15470.77195 - G55</f>
        <v>15470.77195</v>
      </c>
      <c r="H29" s="123">
        <f t="shared" si="3"/>
        <v>2154.2280499999997</v>
      </c>
      <c r="I29" s="123">
        <f>20312.02193 - I55</f>
        <v>20312.021929999999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14.96708 - F56</f>
        <v>14.967079999999999</v>
      </c>
      <c r="G30" s="123">
        <f>11971.88702 - G56</f>
        <v>11971.88702</v>
      </c>
      <c r="H30" s="123">
        <f t="shared" si="3"/>
        <v>982.11297999999988</v>
      </c>
      <c r="I30" s="123">
        <f>13808.79227 - I56</f>
        <v>13808.79227</v>
      </c>
      <c r="J30" s="63"/>
    </row>
    <row r="31" spans="1:10" ht="14.15" customHeight="1" x14ac:dyDescent="0.3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37.45001</f>
        <v>37.450009999999999</v>
      </c>
      <c r="G32" s="129">
        <f>5242.41739</f>
        <v>5242.4173899999996</v>
      </c>
      <c r="H32" s="129">
        <f t="shared" si="3"/>
        <v>5664.5826100000004</v>
      </c>
      <c r="I32" s="129">
        <f>8192.55877</f>
        <v>8192.5587699999996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63.864239999999995</v>
      </c>
      <c r="G33" s="129">
        <f>G34+G35</f>
        <v>9490.6995899999001</v>
      </c>
      <c r="H33" s="129">
        <f t="shared" si="3"/>
        <v>-213.69958999990013</v>
      </c>
      <c r="I33" s="129">
        <f>I34+I35</f>
        <v>10715.66676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72.86424 - F57 - F58</f>
        <v>63.864239999999995</v>
      </c>
      <c r="G34" s="129">
        <f>12015.6995899999 - G57 - G58</f>
        <v>9490.6995899999001</v>
      </c>
      <c r="H34" s="123">
        <f t="shared" si="3"/>
        <v>-1078.6995899999001</v>
      </c>
      <c r="I34" s="123">
        <f>12531.66676 - I57 - I58</f>
        <v>10715.66676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273.1252</f>
        <v>273.12520000000001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3</f>
        <v>3</v>
      </c>
      <c r="G37" s="95">
        <f>542.7751</f>
        <v>542.77509999999995</v>
      </c>
      <c r="H37" s="95">
        <f t="shared" si="3"/>
        <v>337.22490000000005</v>
      </c>
      <c r="I37" s="95">
        <f>559.72949</f>
        <v>559.72949000000006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9</v>
      </c>
      <c r="G38" s="95">
        <f>G58</f>
        <v>2525</v>
      </c>
      <c r="H38" s="95">
        <f t="shared" si="3"/>
        <v>475</v>
      </c>
      <c r="I38" s="95">
        <f>I58</f>
        <v>1816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6.12958</f>
        <v>6.1295799999999998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1.0189</f>
        <v>1.0188999999999999</v>
      </c>
      <c r="G40" s="95">
        <f>392.59449</f>
        <v>392.59449000000001</v>
      </c>
      <c r="H40" s="95">
        <f t="shared" si="3"/>
        <v>57.405509999999992</v>
      </c>
      <c r="I40" s="95">
        <f>363.99662</f>
        <v>363.99662000000001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51.25798</f>
        <v>51.257980000000003</v>
      </c>
      <c r="H41" s="136">
        <f t="shared" si="3"/>
        <v>-51.257980000000003</v>
      </c>
      <c r="I41" s="136">
        <f>66.51068</f>
        <v>66.510679999999994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854.23211000000003</v>
      </c>
      <c r="G42" s="73">
        <f t="shared" si="4"/>
        <v>105696.59633999992</v>
      </c>
      <c r="H42" s="73">
        <f>H22+H25+H36+H37+H38+H39+H40+H41</f>
        <v>37607.403660000091</v>
      </c>
      <c r="I42" s="73">
        <f t="shared" si="4"/>
        <v>126834.2398</v>
      </c>
      <c r="J42" s="271"/>
    </row>
    <row r="43" spans="1:10" ht="14.15" customHeight="1" x14ac:dyDescent="0.3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9</v>
      </c>
      <c r="G58" s="136">
        <v>2525</v>
      </c>
      <c r="H58" s="136">
        <f>E58-G58</f>
        <v>475</v>
      </c>
      <c r="I58" s="136">
        <v>1816</v>
      </c>
      <c r="J58" s="117"/>
    </row>
    <row r="59" spans="1:10" ht="14.15" customHeight="1" x14ac:dyDescent="0.3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140.72765999999999</v>
      </c>
      <c r="G79" s="10">
        <f t="shared" si="5"/>
        <v>22190.586009999999</v>
      </c>
      <c r="H79" s="10">
        <f>H81+H80</f>
        <v>7708.4139900000009</v>
      </c>
      <c r="I79" s="10">
        <f t="shared" si="5"/>
        <v>19397.259300000002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29143</v>
      </c>
      <c r="F80" s="22">
        <f>107.07166</f>
        <v>107.07165999999999</v>
      </c>
      <c r="G80" s="22">
        <f>21653.63568</f>
        <v>21653.635679999999</v>
      </c>
      <c r="H80" s="22">
        <f>E80-G80</f>
        <v>7489.3643200000006</v>
      </c>
      <c r="I80" s="22">
        <f>18980.47608</f>
        <v>18980.47608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33.656</f>
        <v>33.655999999999999</v>
      </c>
      <c r="G81" s="48">
        <f>536.95033</f>
        <v>536.95033000000001</v>
      </c>
      <c r="H81" s="48">
        <f>E81-G81</f>
        <v>219.04966999999999</v>
      </c>
      <c r="I81" s="48">
        <f>416.78322</f>
        <v>416.78321999999997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415.29838999999998</v>
      </c>
      <c r="G82" s="10">
        <f t="shared" si="6"/>
        <v>21836.046869999962</v>
      </c>
      <c r="H82" s="10">
        <f>H83+H88+H89</f>
        <v>29835.953130000038</v>
      </c>
      <c r="I82" s="10">
        <f t="shared" si="6"/>
        <v>23941.063939999975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364.37484000000001</v>
      </c>
      <c r="G83" s="129">
        <f t="shared" si="7"/>
        <v>16436.034899999962</v>
      </c>
      <c r="H83" s="129">
        <f>H84+H85+H86+H87</f>
        <v>21579.965100000038</v>
      </c>
      <c r="I83" s="129">
        <f t="shared" si="7"/>
        <v>18618.489399999951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10530</v>
      </c>
      <c r="F84" s="123">
        <f>40.84566</f>
        <v>40.845660000000002</v>
      </c>
      <c r="G84" s="123">
        <f>2696.32576999998</f>
        <v>2696.3257699999799</v>
      </c>
      <c r="H84" s="123">
        <f t="shared" ref="H84:H93" si="8">E84-G84</f>
        <v>7833.6742300000205</v>
      </c>
      <c r="I84" s="123">
        <f>2816.54022999997</f>
        <v>2816.5402299999701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10962</v>
      </c>
      <c r="F85" s="123">
        <f>137.4505</f>
        <v>137.45050000000001</v>
      </c>
      <c r="G85" s="123">
        <f>6066.06854999999</f>
        <v>6066.06854999999</v>
      </c>
      <c r="H85" s="123">
        <f t="shared" si="8"/>
        <v>4895.93145000001</v>
      </c>
      <c r="I85" s="123">
        <f>5113.22775999998</f>
        <v>5113.2277599999798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9908</v>
      </c>
      <c r="F86" s="123">
        <f>73.0964</f>
        <v>73.096400000000003</v>
      </c>
      <c r="G86" s="123">
        <f>4433.88777999999</f>
        <v>4433.88777999999</v>
      </c>
      <c r="H86" s="123">
        <f t="shared" si="8"/>
        <v>5474.11222000001</v>
      </c>
      <c r="I86" s="123">
        <f>6282.55281</f>
        <v>6282.5528100000001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6616</v>
      </c>
      <c r="F87" s="123">
        <f>112.98228</f>
        <v>112.98228</v>
      </c>
      <c r="G87" s="123">
        <f>3239.7528</f>
        <v>3239.7528000000002</v>
      </c>
      <c r="H87" s="123">
        <f t="shared" si="8"/>
        <v>3376.2471999999998</v>
      </c>
      <c r="I87" s="123">
        <f>4406.1686</f>
        <v>4406.1686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9513</v>
      </c>
      <c r="F88" s="129">
        <f>32.9042</f>
        <v>32.904200000000003</v>
      </c>
      <c r="G88" s="129">
        <f>4083.30918</f>
        <v>4083.3091800000002</v>
      </c>
      <c r="H88" s="129">
        <f t="shared" si="8"/>
        <v>5429.6908199999998</v>
      </c>
      <c r="I88" s="129">
        <f>4199.19405</f>
        <v>4199.1940500000001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4143</v>
      </c>
      <c r="F89" s="72">
        <f>18.01935</f>
        <v>18.019349999999999</v>
      </c>
      <c r="G89" s="72">
        <f>1316.70279</f>
        <v>1316.70279</v>
      </c>
      <c r="H89" s="72">
        <f t="shared" si="8"/>
        <v>2826.2972099999997</v>
      </c>
      <c r="I89" s="72">
        <f>1123.38049000002</f>
        <v>1123.38049000002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29.07267</f>
        <v>29.072669999999999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0.05184</f>
        <v>5.1839999999999997E-2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0.21162</f>
        <v>0.21162</v>
      </c>
      <c r="G92" s="95">
        <f>4.15</f>
        <v>4.1500000000000004</v>
      </c>
      <c r="H92" s="136">
        <f t="shared" si="8"/>
        <v>45.85</v>
      </c>
      <c r="I92" s="95">
        <f>11.97144</f>
        <v>11.971439999999999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9.30962</f>
        <v>9.3096200000000007</v>
      </c>
      <c r="H93" s="136">
        <f t="shared" si="8"/>
        <v>-9.3096200000000007</v>
      </c>
      <c r="I93" s="136">
        <f>11.8549</f>
        <v>11.854900000000001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556.28950999999995</v>
      </c>
      <c r="G94" s="73">
        <f t="shared" si="10"/>
        <v>44351.712369999965</v>
      </c>
      <c r="H94" s="73">
        <f>H79+H82+H90+H91+H92+H93</f>
        <v>37888.287630000035</v>
      </c>
      <c r="I94" s="73">
        <f t="shared" si="10"/>
        <v>43691.222249999977</v>
      </c>
      <c r="J94" s="271"/>
    </row>
    <row r="95" spans="1:10" ht="13.5" customHeight="1" x14ac:dyDescent="0.3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464.73631999999998</v>
      </c>
      <c r="G115" s="10">
        <f t="shared" si="11"/>
        <v>18978.35987</v>
      </c>
      <c r="H115" s="10">
        <f t="shared" si="11"/>
        <v>35267.64013</v>
      </c>
      <c r="I115" s="10">
        <f t="shared" si="11"/>
        <v>31046.281459999998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318.07687</f>
        <v>318.07686999999999</v>
      </c>
      <c r="G116" s="22">
        <f>16500.22967</f>
        <v>16500.229670000001</v>
      </c>
      <c r="H116" s="22">
        <f>E116-G116</f>
        <v>26896.770329999999</v>
      </c>
      <c r="I116" s="22">
        <f>27598.62562</f>
        <v>27598.625619999999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146.65945</f>
        <v>146.65944999999999</v>
      </c>
      <c r="G117" s="22">
        <f>2405.1897</f>
        <v>2405.1896999999999</v>
      </c>
      <c r="H117" s="22">
        <f>E117-G117</f>
        <v>7943.8103000000001</v>
      </c>
      <c r="I117" s="22">
        <f>3382.29824</f>
        <v>3382.2982400000001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2278.3621</f>
        <v>2278.3620999999998</v>
      </c>
      <c r="G119" s="92">
        <f>10319.91645+562.5852</f>
        <v>10882.50165</v>
      </c>
      <c r="H119" s="92">
        <f>E119-G119</f>
        <v>25770.498350000002</v>
      </c>
      <c r="I119" s="92">
        <f>14867.5726</f>
        <v>14867.5726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410.72679999999997</v>
      </c>
      <c r="G120" s="91">
        <f t="shared" ref="G120" si="12">G121+G126+G129</f>
        <v>21808.099250000014</v>
      </c>
      <c r="H120" s="91">
        <f>H121+H126+H129</f>
        <v>35301.900749999986</v>
      </c>
      <c r="I120" s="91">
        <f>I121+I126+I129</f>
        <v>35737.851009999991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283.62824999999998</v>
      </c>
      <c r="G121" s="121">
        <f>G122+G123+G125+G124</f>
        <v>16533.148320000022</v>
      </c>
      <c r="H121" s="121">
        <f>H122+H123+H124+H125</f>
        <v>26648.851679999978</v>
      </c>
      <c r="I121" s="121">
        <f>I122+I123+I124+I125</f>
        <v>26706.733580000011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71.43053</f>
        <v>71.430530000000005</v>
      </c>
      <c r="G122" s="123">
        <f>4507.89734000001</f>
        <v>4507.8973400000104</v>
      </c>
      <c r="H122" s="123">
        <f>E122-G122</f>
        <v>6968.1026599999896</v>
      </c>
      <c r="I122" s="123">
        <f>5935.69057000001</f>
        <v>5935.6905700000098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49.35097</f>
        <v>49.350969999999997</v>
      </c>
      <c r="G123" s="123">
        <f>4863.88639000001</f>
        <v>4863.8863900000097</v>
      </c>
      <c r="H123" s="123">
        <f>E123-G123</f>
        <v>6971.1136099999903</v>
      </c>
      <c r="I123" s="123">
        <f>7775.63694</f>
        <v>7775.6369400000003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108.15075</f>
        <v>108.15075</v>
      </c>
      <c r="G124" s="123">
        <f>3824.51826</f>
        <v>3824.5182599999998</v>
      </c>
      <c r="H124" s="123">
        <f>E124-G124</f>
        <v>6648.4817400000002</v>
      </c>
      <c r="I124" s="123">
        <f>6249.15349</f>
        <v>6249.1534899999997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54.696</f>
        <v>54.695999999999998</v>
      </c>
      <c r="G125" s="123">
        <f>3899.43153-562.5852</f>
        <v>3336.8463299999999</v>
      </c>
      <c r="H125" s="123">
        <f>E125-G125</f>
        <v>6061.1536699999997</v>
      </c>
      <c r="I125" s="123">
        <f>6746.25258</f>
        <v>6746.2525800000003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11.953200000000001</v>
      </c>
      <c r="G126" s="129">
        <f>SUM(G127:G128)</f>
        <v>1894.1618599999999</v>
      </c>
      <c r="H126" s="129">
        <f>H127+H128</f>
        <v>4233.8381399999998</v>
      </c>
      <c r="I126" s="129">
        <f>SUM(I127:I128)</f>
        <v>5856.2169299999996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0</f>
        <v>0</v>
      </c>
      <c r="G127" s="123">
        <f>1701.15652</f>
        <v>1701.15652</v>
      </c>
      <c r="H127" s="123">
        <f t="shared" ref="H127:H135" si="13">E127-G127</f>
        <v>3926.84348</v>
      </c>
      <c r="I127" s="123">
        <f>5724.20821</f>
        <v>5724.2082099999998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11.9532</f>
        <v>11.953200000000001</v>
      </c>
      <c r="G128" s="123">
        <f>193.00534</f>
        <v>193.00533999999999</v>
      </c>
      <c r="H128" s="123">
        <f t="shared" si="13"/>
        <v>306.99466000000001</v>
      </c>
      <c r="I128" s="123">
        <f>132.00872</f>
        <v>132.00872000000001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115.14535</f>
        <v>115.14534999999999</v>
      </c>
      <c r="G129" s="72">
        <f>3380.78906999999</f>
        <v>3380.7890699999898</v>
      </c>
      <c r="H129" s="72">
        <f t="shared" si="13"/>
        <v>4419.2109300000102</v>
      </c>
      <c r="I129" s="72">
        <f>3174.90049999998</f>
        <v>3174.9004999999802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34.53</f>
        <v>34.53</v>
      </c>
      <c r="G131" s="95">
        <f>179.432</f>
        <v>179.43199999999999</v>
      </c>
      <c r="H131" s="95">
        <f t="shared" si="13"/>
        <v>170.56800000000001</v>
      </c>
      <c r="I131" s="95">
        <f>345.268</f>
        <v>345.26799999999997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12.84547</f>
        <v>12.845470000000001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0.2754</f>
        <v>0.27539999999999998</v>
      </c>
      <c r="G134" s="95">
        <f>5.12473</f>
        <v>5.1247299999999996</v>
      </c>
      <c r="H134" s="136">
        <f t="shared" si="13"/>
        <v>249.87527</v>
      </c>
      <c r="I134" s="95">
        <f>81.85155</f>
        <v>81.851550000000003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72.009</f>
        <v>72.009</v>
      </c>
      <c r="H135" s="136">
        <f t="shared" si="13"/>
        <v>-72.009</v>
      </c>
      <c r="I135" s="136">
        <f>75.06826</f>
        <v>75.068259999999995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3201.4760900000001</v>
      </c>
      <c r="G137" s="73">
        <f>G115+G119+G120+G130+G131+G132+G133+G134+G135</f>
        <v>53938.555180000018</v>
      </c>
      <c r="H137" s="73">
        <f>H115+H119+H120+H130+H131+H132+H133+H134+H135</f>
        <v>96831.44481999999</v>
      </c>
      <c r="I137" s="73">
        <f>I115+I119+I120+I130+I131+I132+I133+I134+I135</f>
        <v>84170.343380000006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25.5346</f>
        <v>25.534600000000001</v>
      </c>
      <c r="F160" s="301">
        <f>751.129259999999</f>
        <v>751.12925999999902</v>
      </c>
      <c r="G160" s="42">
        <f>D160-F160-F161</f>
        <v>2204.3050300000014</v>
      </c>
      <c r="H160" s="301">
        <f>634.11112</f>
        <v>634.11112000000003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0.60298</f>
        <v>0.60297999999999996</v>
      </c>
      <c r="F161" s="148">
        <f>798.56571</f>
        <v>798.56570999999997</v>
      </c>
      <c r="G161" s="219"/>
      <c r="H161" s="148">
        <f>1004.32382</f>
        <v>1004.32382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54.39313</f>
        <v>54.393129999999999</v>
      </c>
      <c r="G162" s="166">
        <f>D162-F162</f>
        <v>145.60687000000001</v>
      </c>
      <c r="H162" s="166">
        <f>51.71089</f>
        <v>51.710889999999999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972.87753999999995</v>
      </c>
      <c r="F163" s="175">
        <f>F164+F165+F166</f>
        <v>4236.5874000000003</v>
      </c>
      <c r="G163" s="175">
        <f>D163-F163</f>
        <v>1393.4125999999997</v>
      </c>
      <c r="H163" s="175">
        <f>H164+H165+H166</f>
        <v>4074.1174599999999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738.64908</f>
        <v>738.64908000000003</v>
      </c>
      <c r="F164" s="123">
        <f>2511.6819</f>
        <v>2511.6819</v>
      </c>
      <c r="G164" s="123"/>
      <c r="H164" s="123">
        <f>2188.49363</f>
        <v>2188.4936299999999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156.2335</f>
        <v>156.23349999999999</v>
      </c>
      <c r="F165" s="123">
        <f>1224.25582</f>
        <v>1224.2558200000001</v>
      </c>
      <c r="G165" s="123"/>
      <c r="H165" s="123">
        <f>1255.75785</f>
        <v>1255.75785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77.99496</f>
        <v>77.994960000000006</v>
      </c>
      <c r="F166" s="186">
        <f>500.64968</f>
        <v>500.64967999999999</v>
      </c>
      <c r="G166" s="186"/>
      <c r="H166" s="186">
        <f>629.86598</f>
        <v>629.86598000000004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999.01511999999991</v>
      </c>
      <c r="F169" s="188">
        <f>F160+F161+F162+F163+F167+F168</f>
        <v>5849.3773599999995</v>
      </c>
      <c r="G169" s="188">
        <f>D169-F169</f>
        <v>3825.6226400000005</v>
      </c>
      <c r="H169" s="188">
        <f>H160+H161+H162+H163+H167+H168</f>
        <v>5769.6163900000001</v>
      </c>
      <c r="I169" s="159"/>
      <c r="J169" s="155"/>
    </row>
    <row r="170" spans="1:10" ht="42" customHeight="1" x14ac:dyDescent="0.3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2894.80858</f>
        <v>2894.8085799999999</v>
      </c>
      <c r="G189" s="124">
        <f>32573.92997</f>
        <v>32573.929970000001</v>
      </c>
      <c r="H189" s="124">
        <f>E189-G189</f>
        <v>10166.070029999999</v>
      </c>
      <c r="I189" s="124">
        <f>36198.20262</f>
        <v>36198.202619999996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0.144</f>
        <v>0.14399999999999999</v>
      </c>
      <c r="G190" s="124">
        <f>13.59756</f>
        <v>13.59756</v>
      </c>
      <c r="H190" s="124">
        <f>E190-G190</f>
        <v>86.402439999999999</v>
      </c>
      <c r="I190" s="124">
        <f>26.22912</f>
        <v>26.229120000000002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2894.9525799999997</v>
      </c>
      <c r="G192" s="190">
        <f>SUM(G189:G191)</f>
        <v>32587.527529999999</v>
      </c>
      <c r="H192" s="190">
        <f>E192-G192</f>
        <v>10298.472470000001</v>
      </c>
      <c r="I192" s="190">
        <f>SUM(I189:I191)</f>
        <v>36224.43174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26.888999999999999</v>
      </c>
      <c r="F202" s="72">
        <f>F203+F204</f>
        <v>2746.4665199999999</v>
      </c>
      <c r="G202" s="72">
        <f>D202-F202</f>
        <v>455.53348000000005</v>
      </c>
      <c r="H202" s="72">
        <f>H203+H204</f>
        <v>2772.36409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20.6112</f>
        <v>20.6112</v>
      </c>
      <c r="F203" s="72">
        <f>2193.1867</f>
        <v>2193.1867000000002</v>
      </c>
      <c r="G203" s="72"/>
      <c r="H203" s="72">
        <f>2244.09012</f>
        <v>2244.0901199999998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6.2778</f>
        <v>6.2778</v>
      </c>
      <c r="F204" s="124">
        <f>553.27982</f>
        <v>553.27981999999997</v>
      </c>
      <c r="G204" s="168"/>
      <c r="H204" s="124">
        <f>528.27397</f>
        <v>528.27396999999996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92.4816</f>
        <v>92.4816</v>
      </c>
      <c r="F205" s="72">
        <f>2690.82414</f>
        <v>2690.8241400000002</v>
      </c>
      <c r="G205" s="72">
        <f>D205-F205</f>
        <v>1013.1758599999998</v>
      </c>
      <c r="H205" s="72">
        <f>3936.68254</f>
        <v>3936.6825399999998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119.3706</v>
      </c>
      <c r="F206" s="190">
        <f>SUM(F202,F205)</f>
        <v>5437.2906600000006</v>
      </c>
      <c r="G206" s="190">
        <f>D206-F206</f>
        <v>1468.7093399999994</v>
      </c>
      <c r="H206" s="190">
        <f>SUM(H202,H205)</f>
        <v>6709.0466299999998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286.94925999999998</v>
      </c>
      <c r="F215" s="72">
        <f>F216+F217</f>
        <v>4857.9189099999994</v>
      </c>
      <c r="G215" s="72">
        <f>D215-F215</f>
        <v>658.08109000000059</v>
      </c>
      <c r="H215" s="72">
        <f>H216+H217</f>
        <v>3182.6174699999997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283.5979</f>
        <v>283.59789999999998</v>
      </c>
      <c r="F216" s="72">
        <f>4515.22888</f>
        <v>4515.2288799999997</v>
      </c>
      <c r="G216" s="72"/>
      <c r="H216" s="72">
        <f>2900.68884</f>
        <v>2900.6888399999998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3.35136</f>
        <v>3.3513600000000001</v>
      </c>
      <c r="F217" s="124">
        <f>342.69003</f>
        <v>342.69002999999998</v>
      </c>
      <c r="G217" s="168"/>
      <c r="H217" s="124">
        <f>281.92863</f>
        <v>281.92863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94.20666</f>
        <v>94.206659999999999</v>
      </c>
      <c r="F218" s="72">
        <f>2173.68619</f>
        <v>2173.6861899999999</v>
      </c>
      <c r="G218" s="72">
        <f>D218-F218</f>
        <v>1058.3138100000001</v>
      </c>
      <c r="H218" s="72">
        <f>1569.18461</f>
        <v>1569.18461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381.15591999999998</v>
      </c>
      <c r="F219" s="190">
        <f>SUM(F215,F218)</f>
        <v>7031.6050999999989</v>
      </c>
      <c r="G219" s="190">
        <f>D219-F219</f>
        <v>1716.3949000000011</v>
      </c>
      <c r="H219" s="190">
        <f>SUM(H215,H218)</f>
        <v>4751.8020799999995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0.91934</f>
        <v>0.91934000000000005</v>
      </c>
      <c r="F237" s="124">
        <f>83.39528</f>
        <v>83.39528</v>
      </c>
      <c r="G237" s="124">
        <f>D237-F237</f>
        <v>716.60472000000004</v>
      </c>
      <c r="H237" s="124">
        <f>236.74244</f>
        <v>236.74243999999999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9.65704</f>
        <v>9.6570400000000003</v>
      </c>
      <c r="F238" s="124">
        <f>291.464729999999</f>
        <v>291.46472999999901</v>
      </c>
      <c r="G238" s="124">
        <f>D238-F238</f>
        <v>414.53527000000099</v>
      </c>
      <c r="H238" s="124">
        <f>425.168609999999</f>
        <v>425.16860999999898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0.159</f>
        <v>0.159</v>
      </c>
      <c r="F240" s="168">
        <f>0.33596</f>
        <v>0.33595999999999998</v>
      </c>
      <c r="G240" s="124">
        <f>D240-F240</f>
        <v>-0.33595999999999998</v>
      </c>
      <c r="H240" s="168">
        <f>1.92872</f>
        <v>1.92872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10.735380000000001</v>
      </c>
      <c r="F241" s="190">
        <f>SUM(F237:F240)</f>
        <v>375.24096999999904</v>
      </c>
      <c r="G241" s="190">
        <f>D241-F241</f>
        <v>1140.7590300000011</v>
      </c>
      <c r="H241" s="190">
        <f>H237+H238+H239+H240</f>
        <v>664.66090999999903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95.236850000000004</v>
      </c>
      <c r="G262" s="280">
        <f t="shared" si="15"/>
        <v>1711.0485500000002</v>
      </c>
      <c r="H262" s="280">
        <f>H266+H265+H264+H263</f>
        <v>17128.95145</v>
      </c>
      <c r="I262" s="280">
        <f t="shared" si="15"/>
        <v>5226.29396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280.28341</f>
        <v>280.28341</v>
      </c>
      <c r="H263" s="284">
        <f t="shared" ref="H263:H268" si="16">E263-G263</f>
        <v>9894.71659</v>
      </c>
      <c r="I263" s="284">
        <f>1582.73521</f>
        <v>1582.7352100000001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701.78751</f>
        <v>701.78751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1.08672</f>
        <v>1.0867199999999999</v>
      </c>
      <c r="G265" s="284">
        <f>751.24217</f>
        <v>751.24216999999999</v>
      </c>
      <c r="H265" s="284">
        <f t="shared" si="16"/>
        <v>655.75783000000001</v>
      </c>
      <c r="I265" s="284">
        <f>1001.80305</f>
        <v>1001.80305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94.15013</f>
        <v>94.150130000000004</v>
      </c>
      <c r="G266" s="284">
        <f>643.88297</f>
        <v>643.88297</v>
      </c>
      <c r="H266" s="284">
        <f t="shared" si="16"/>
        <v>3965.1170299999999</v>
      </c>
      <c r="I266" s="284">
        <f>1939.96819</f>
        <v>1939.96819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49.23062</f>
        <v>49.230620000000002</v>
      </c>
      <c r="G267" s="294">
        <f>1449.92059</f>
        <v>1449.9205899999999</v>
      </c>
      <c r="H267" s="294">
        <f t="shared" si="16"/>
        <v>4050.0794100000003</v>
      </c>
      <c r="I267" s="294">
        <f>4095.23824</f>
        <v>4095.2382400000001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42.080440000000003</v>
      </c>
      <c r="G268" s="295">
        <f>G270+G269</f>
        <v>1118.0155700000009</v>
      </c>
      <c r="H268" s="295">
        <f t="shared" si="16"/>
        <v>6881.9844299999986</v>
      </c>
      <c r="I268" s="295">
        <f>I270+I269</f>
        <v>1292.3515500000019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331.80881</f>
        <v>331.80880999999999</v>
      </c>
      <c r="H269" s="284"/>
      <c r="I269" s="284">
        <f>447.82058</f>
        <v>447.82058000000001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42.08044</f>
        <v>42.080440000000003</v>
      </c>
      <c r="G270" s="303">
        <f>786.206760000001</f>
        <v>786.20676000000105</v>
      </c>
      <c r="H270" s="303"/>
      <c r="I270" s="303">
        <f>844.530970000002</f>
        <v>844.53097000000196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0.11492</f>
        <v>0.11491999999999999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10.4648</f>
        <v>10.4648</v>
      </c>
      <c r="G272" s="294">
        <f>25.37394</f>
        <v>25.373940000000001</v>
      </c>
      <c r="H272" s="294">
        <f>E272-G272</f>
        <v>-25.373940000000001</v>
      </c>
      <c r="I272" s="294">
        <f>38.66376</f>
        <v>38.663760000000003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197.12763000000001</v>
      </c>
      <c r="G273" s="312">
        <f t="shared" si="17"/>
        <v>4304.473570000001</v>
      </c>
      <c r="H273" s="312">
        <f>H262+H267+H268+H271+H272</f>
        <v>28048.526429999994</v>
      </c>
      <c r="I273" s="312">
        <f t="shared" si="17"/>
        <v>10653.11601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2363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928.56393000000003</v>
      </c>
      <c r="G294" s="82">
        <f>D294-F294</f>
        <v>-149.56393000000003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687.65275</f>
        <v>687.65274999999997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648.55110000000002</v>
      </c>
      <c r="G297" s="82">
        <f>D297-F297</f>
        <v>130.44889999999998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509.423</f>
        <v>509.423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805</v>
      </c>
      <c r="E300" s="34">
        <f>SUM(E301:E302)</f>
        <v>64.924900000000008</v>
      </c>
      <c r="F300" s="34">
        <f>SUM(F301:F302)</f>
        <v>651.85509000000002</v>
      </c>
      <c r="G300" s="82">
        <f>D300-F300</f>
        <v>153.14490999999998</v>
      </c>
      <c r="H300" s="34">
        <f>SUM(H301:H302)</f>
        <v>730.81176000000005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59.6642</f>
        <v>59.664200000000001</v>
      </c>
      <c r="F301" s="29">
        <f>493.00284</f>
        <v>493.00283999999999</v>
      </c>
      <c r="G301" s="94"/>
      <c r="H301" s="29">
        <f>505.79704</f>
        <v>505.79703999999998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5.2607</f>
        <v>5.2606999999999999</v>
      </c>
      <c r="F302" s="29">
        <f>158.85225</f>
        <v>158.85225</v>
      </c>
      <c r="G302" s="105"/>
      <c r="H302" s="29">
        <f>225.01472</f>
        <v>225.01472000000001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2363</v>
      </c>
      <c r="E304" s="39">
        <f>E294+E297+E300+E303</f>
        <v>64.924900000000008</v>
      </c>
      <c r="F304" s="39">
        <f>F294+F297+F300+F303</f>
        <v>2228.97012</v>
      </c>
      <c r="G304" s="40">
        <f>D304-F304</f>
        <v>134.02988000000005</v>
      </c>
      <c r="H304" s="39">
        <f>H294+H297+H300+H303</f>
        <v>2745.3288899999998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132</v>
      </c>
      <c r="D322" s="237">
        <v>238</v>
      </c>
      <c r="E322" s="29">
        <f>1.29472</f>
        <v>1.2947200000000001</v>
      </c>
      <c r="F322" s="29">
        <f>194.0165</f>
        <v>194.01650000000001</v>
      </c>
      <c r="G322" s="238">
        <f>D322-F322</f>
        <v>43.983499999999992</v>
      </c>
      <c r="H322" s="29">
        <f>102.88514</f>
        <v>102.88514000000001</v>
      </c>
      <c r="I322" s="242"/>
      <c r="J322" s="127"/>
    </row>
    <row r="323" spans="1:10" ht="17.5" customHeight="1" x14ac:dyDescent="0.35">
      <c r="A323" s="223"/>
      <c r="B323" s="69"/>
      <c r="C323" s="239" t="s">
        <v>133</v>
      </c>
      <c r="D323" s="240">
        <v>21237</v>
      </c>
      <c r="E323" s="29">
        <f>58.15119</f>
        <v>58.15119</v>
      </c>
      <c r="F323" s="29">
        <f>480.285370000001</f>
        <v>480.28537000000102</v>
      </c>
      <c r="G323" s="241">
        <f>D323-F323</f>
        <v>20756.714629999999</v>
      </c>
      <c r="H323" s="29">
        <f>528.619620000001</f>
        <v>528.61962000000096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59.445909999999998</v>
      </c>
      <c r="F324" s="39">
        <f>F323+F322</f>
        <v>674.30187000000103</v>
      </c>
      <c r="G324" s="39">
        <f>G323+G322</f>
        <v>20800.698129999997</v>
      </c>
      <c r="H324" s="39">
        <f>H323+H322</f>
        <v>631.50476000000094</v>
      </c>
      <c r="I324" s="26"/>
      <c r="J324" s="127"/>
    </row>
    <row r="325" spans="1:10" ht="22.5" customHeight="1" x14ac:dyDescent="0.3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3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24&amp;R15.06.2026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2026-06-15T07:25:06Z</dcterms:modified>
</cp:coreProperties>
</file>