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1AC1C1A7-084A-4D94-9F8D-A0DFA81B8B5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0" i="1" l="1"/>
  <c r="D380" i="1"/>
  <c r="H372" i="1"/>
  <c r="F372" i="1"/>
  <c r="D369" i="1"/>
  <c r="D368" i="1"/>
  <c r="D343" i="1"/>
  <c r="E139" i="1"/>
  <c r="D139" i="1"/>
  <c r="E134" i="1"/>
  <c r="E133" i="1" s="1"/>
  <c r="D134" i="1"/>
  <c r="D133" i="1" s="1"/>
  <c r="E128" i="1"/>
  <c r="D128" i="1"/>
  <c r="E96" i="1"/>
  <c r="E95" i="1" s="1"/>
  <c r="D96" i="1"/>
  <c r="D95" i="1" s="1"/>
  <c r="E92" i="1"/>
  <c r="D92" i="1"/>
  <c r="H85" i="1"/>
  <c r="F85" i="1"/>
  <c r="D85" i="1"/>
  <c r="G39" i="1" l="1"/>
  <c r="G36" i="1"/>
  <c r="G35" i="1"/>
  <c r="G32" i="1"/>
  <c r="I35" i="1"/>
  <c r="I34" i="1" s="1"/>
  <c r="I26" i="1" s="1"/>
  <c r="I32" i="1"/>
  <c r="E34" i="1"/>
  <c r="D34" i="1"/>
  <c r="E27" i="1"/>
  <c r="E26" i="1" s="1"/>
  <c r="D27" i="1"/>
  <c r="D26" i="1" s="1"/>
  <c r="E23" i="1"/>
  <c r="E44" i="1" s="1"/>
  <c r="D23" i="1"/>
  <c r="D44" i="1" s="1"/>
  <c r="H16" i="1"/>
  <c r="F16" i="1"/>
  <c r="D16" i="1"/>
  <c r="D423" i="1"/>
  <c r="H422" i="1"/>
  <c r="F422" i="1"/>
  <c r="G422" i="1" s="1"/>
  <c r="E422" i="1"/>
  <c r="H421" i="1"/>
  <c r="F421" i="1"/>
  <c r="E421" i="1"/>
  <c r="H420" i="1"/>
  <c r="F420" i="1"/>
  <c r="F419" i="1" s="1"/>
  <c r="G419" i="1" s="1"/>
  <c r="E420" i="1"/>
  <c r="E419" i="1" s="1"/>
  <c r="H419" i="1"/>
  <c r="H418" i="1"/>
  <c r="F418" i="1"/>
  <c r="E418" i="1"/>
  <c r="E416" i="1" s="1"/>
  <c r="H417" i="1"/>
  <c r="H416" i="1" s="1"/>
  <c r="F417" i="1"/>
  <c r="F416" i="1" s="1"/>
  <c r="G416" i="1" s="1"/>
  <c r="E417" i="1"/>
  <c r="H415" i="1"/>
  <c r="H413" i="1" s="1"/>
  <c r="F415" i="1"/>
  <c r="F413" i="1" s="1"/>
  <c r="E415" i="1"/>
  <c r="E413" i="1" s="1"/>
  <c r="H414" i="1"/>
  <c r="F414" i="1"/>
  <c r="E414" i="1"/>
  <c r="I390" i="1"/>
  <c r="G390" i="1"/>
  <c r="H390" i="1" s="1"/>
  <c r="F390" i="1"/>
  <c r="I389" i="1"/>
  <c r="H389" i="1"/>
  <c r="G389" i="1"/>
  <c r="F389" i="1"/>
  <c r="I388" i="1"/>
  <c r="G388" i="1"/>
  <c r="G386" i="1" s="1"/>
  <c r="H386" i="1" s="1"/>
  <c r="F388" i="1"/>
  <c r="F386" i="1" s="1"/>
  <c r="I387" i="1"/>
  <c r="I386" i="1" s="1"/>
  <c r="G387" i="1"/>
  <c r="F387" i="1"/>
  <c r="I385" i="1"/>
  <c r="H385" i="1"/>
  <c r="G385" i="1"/>
  <c r="F385" i="1"/>
  <c r="I384" i="1"/>
  <c r="H384" i="1"/>
  <c r="G384" i="1"/>
  <c r="F384" i="1"/>
  <c r="F380" i="1" s="1"/>
  <c r="F391" i="1" s="1"/>
  <c r="I383" i="1"/>
  <c r="I380" i="1" s="1"/>
  <c r="I391" i="1" s="1"/>
  <c r="H383" i="1"/>
  <c r="G383" i="1"/>
  <c r="F383" i="1"/>
  <c r="I382" i="1"/>
  <c r="H382" i="1"/>
  <c r="G382" i="1"/>
  <c r="F382" i="1"/>
  <c r="I381" i="1"/>
  <c r="H381" i="1"/>
  <c r="G381" i="1"/>
  <c r="F381" i="1"/>
  <c r="G380" i="1"/>
  <c r="D391" i="1"/>
  <c r="D354" i="1"/>
  <c r="G354" i="1" s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E354" i="1" s="1"/>
  <c r="H299" i="1"/>
  <c r="D299" i="1"/>
  <c r="H298" i="1"/>
  <c r="F298" i="1"/>
  <c r="G298" i="1" s="1"/>
  <c r="E298" i="1"/>
  <c r="H297" i="1"/>
  <c r="F297" i="1"/>
  <c r="E297" i="1"/>
  <c r="H296" i="1"/>
  <c r="F296" i="1"/>
  <c r="F295" i="1" s="1"/>
  <c r="E296" i="1"/>
  <c r="E295" i="1" s="1"/>
  <c r="E299" i="1" s="1"/>
  <c r="H295" i="1"/>
  <c r="D253" i="1"/>
  <c r="H252" i="1"/>
  <c r="F252" i="1"/>
  <c r="G252" i="1" s="1"/>
  <c r="E252" i="1"/>
  <c r="H251" i="1"/>
  <c r="F251" i="1"/>
  <c r="E251" i="1"/>
  <c r="E249" i="1" s="1"/>
  <c r="E253" i="1" s="1"/>
  <c r="H250" i="1"/>
  <c r="H249" i="1" s="1"/>
  <c r="H253" i="1" s="1"/>
  <c r="F250" i="1"/>
  <c r="F249" i="1" s="1"/>
  <c r="E250" i="1"/>
  <c r="F207" i="1"/>
  <c r="D207" i="1"/>
  <c r="H206" i="1"/>
  <c r="F206" i="1"/>
  <c r="G206" i="1" s="1"/>
  <c r="E206" i="1"/>
  <c r="H205" i="1"/>
  <c r="H207" i="1" s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F177" i="1"/>
  <c r="G177" i="1" s="1"/>
  <c r="E177" i="1"/>
  <c r="H176" i="1"/>
  <c r="F176" i="1"/>
  <c r="E176" i="1"/>
  <c r="H175" i="1"/>
  <c r="H184" i="1" s="1"/>
  <c r="F175" i="1"/>
  <c r="F184" i="1" s="1"/>
  <c r="G184" i="1" s="1"/>
  <c r="E175" i="1"/>
  <c r="E184" i="1" s="1"/>
  <c r="I148" i="1"/>
  <c r="G148" i="1"/>
  <c r="H148" i="1" s="1"/>
  <c r="F148" i="1"/>
  <c r="I147" i="1"/>
  <c r="G147" i="1"/>
  <c r="H147" i="1" s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F140" i="1"/>
  <c r="I139" i="1"/>
  <c r="G139" i="1"/>
  <c r="F139" i="1"/>
  <c r="I138" i="1"/>
  <c r="G138" i="1"/>
  <c r="H138" i="1" s="1"/>
  <c r="F138" i="1"/>
  <c r="I137" i="1"/>
  <c r="H137" i="1"/>
  <c r="G137" i="1"/>
  <c r="F137" i="1"/>
  <c r="I136" i="1"/>
  <c r="G136" i="1"/>
  <c r="H136" i="1" s="1"/>
  <c r="F136" i="1"/>
  <c r="I135" i="1"/>
  <c r="I134" i="1" s="1"/>
  <c r="I133" i="1" s="1"/>
  <c r="H135" i="1"/>
  <c r="G135" i="1"/>
  <c r="F135" i="1"/>
  <c r="G134" i="1"/>
  <c r="G133" i="1" s="1"/>
  <c r="F134" i="1"/>
  <c r="F133" i="1" s="1"/>
  <c r="I132" i="1"/>
  <c r="H132" i="1"/>
  <c r="G132" i="1"/>
  <c r="F132" i="1"/>
  <c r="I131" i="1"/>
  <c r="H131" i="1"/>
  <c r="G131" i="1"/>
  <c r="F131" i="1"/>
  <c r="I130" i="1"/>
  <c r="H130" i="1"/>
  <c r="H128" i="1" s="1"/>
  <c r="G130" i="1"/>
  <c r="F130" i="1"/>
  <c r="I129" i="1"/>
  <c r="H129" i="1"/>
  <c r="G129" i="1"/>
  <c r="F129" i="1"/>
  <c r="F128" i="1" s="1"/>
  <c r="F150" i="1" s="1"/>
  <c r="I128" i="1"/>
  <c r="I150" i="1" s="1"/>
  <c r="G128" i="1"/>
  <c r="E150" i="1"/>
  <c r="D150" i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G96" i="1" s="1"/>
  <c r="G95" i="1" s="1"/>
  <c r="F98" i="1"/>
  <c r="F96" i="1" s="1"/>
  <c r="F95" i="1" s="1"/>
  <c r="I97" i="1"/>
  <c r="I96" i="1" s="1"/>
  <c r="I95" i="1" s="1"/>
  <c r="H97" i="1"/>
  <c r="G97" i="1"/>
  <c r="F97" i="1"/>
  <c r="I94" i="1"/>
  <c r="I92" i="1" s="1"/>
  <c r="G94" i="1"/>
  <c r="H94" i="1" s="1"/>
  <c r="F94" i="1"/>
  <c r="I93" i="1"/>
  <c r="G93" i="1"/>
  <c r="G92" i="1" s="1"/>
  <c r="F93" i="1"/>
  <c r="F92" i="1" s="1"/>
  <c r="E107" i="1"/>
  <c r="D107" i="1"/>
  <c r="C89" i="1"/>
  <c r="H61" i="1"/>
  <c r="H60" i="1"/>
  <c r="I55" i="1"/>
  <c r="G55" i="1"/>
  <c r="H32" i="1" s="1"/>
  <c r="F55" i="1"/>
  <c r="F32" i="1" s="1"/>
  <c r="I43" i="1"/>
  <c r="G43" i="1"/>
  <c r="H43" i="1" s="1"/>
  <c r="F43" i="1"/>
  <c r="I41" i="1"/>
  <c r="G41" i="1"/>
  <c r="H41" i="1" s="1"/>
  <c r="F41" i="1"/>
  <c r="I40" i="1"/>
  <c r="G40" i="1"/>
  <c r="H40" i="1" s="1"/>
  <c r="F40" i="1"/>
  <c r="I39" i="1"/>
  <c r="H39" i="1"/>
  <c r="F39" i="1"/>
  <c r="I38" i="1"/>
  <c r="H38" i="1"/>
  <c r="G38" i="1"/>
  <c r="F38" i="1"/>
  <c r="I37" i="1"/>
  <c r="G37" i="1"/>
  <c r="H37" i="1" s="1"/>
  <c r="F37" i="1"/>
  <c r="I36" i="1"/>
  <c r="H36" i="1"/>
  <c r="F36" i="1"/>
  <c r="G34" i="1"/>
  <c r="F35" i="1"/>
  <c r="F34" i="1" s="1"/>
  <c r="H35" i="1"/>
  <c r="I33" i="1"/>
  <c r="G33" i="1"/>
  <c r="H33" i="1" s="1"/>
  <c r="F33" i="1"/>
  <c r="I31" i="1"/>
  <c r="G31" i="1"/>
  <c r="H31" i="1" s="1"/>
  <c r="F31" i="1"/>
  <c r="I30" i="1"/>
  <c r="H30" i="1"/>
  <c r="G30" i="1"/>
  <c r="F30" i="1"/>
  <c r="I29" i="1"/>
  <c r="G29" i="1"/>
  <c r="F29" i="1"/>
  <c r="I28" i="1"/>
  <c r="H28" i="1"/>
  <c r="G28" i="1"/>
  <c r="F28" i="1"/>
  <c r="I27" i="1"/>
  <c r="I25" i="1"/>
  <c r="H25" i="1"/>
  <c r="G25" i="1"/>
  <c r="F25" i="1"/>
  <c r="I24" i="1"/>
  <c r="I23" i="1" s="1"/>
  <c r="G24" i="1"/>
  <c r="G23" i="1" s="1"/>
  <c r="F24" i="1"/>
  <c r="F23" i="1" s="1"/>
  <c r="H380" i="1" l="1"/>
  <c r="G207" i="1"/>
  <c r="H139" i="1"/>
  <c r="G150" i="1"/>
  <c r="H134" i="1"/>
  <c r="I107" i="1"/>
  <c r="F27" i="1"/>
  <c r="F26" i="1" s="1"/>
  <c r="F44" i="1" s="1"/>
  <c r="F107" i="1"/>
  <c r="H391" i="1"/>
  <c r="G27" i="1"/>
  <c r="G26" i="1" s="1"/>
  <c r="G44" i="1" s="1"/>
  <c r="G107" i="1"/>
  <c r="E423" i="1"/>
  <c r="G299" i="1"/>
  <c r="I44" i="1"/>
  <c r="H34" i="1"/>
  <c r="F423" i="1"/>
  <c r="G423" i="1" s="1"/>
  <c r="G413" i="1"/>
  <c r="H423" i="1"/>
  <c r="F299" i="1"/>
  <c r="G295" i="1"/>
  <c r="G249" i="1"/>
  <c r="F253" i="1"/>
  <c r="G253" i="1" s="1"/>
  <c r="G391" i="1"/>
  <c r="H24" i="1"/>
  <c r="H23" i="1" s="1"/>
  <c r="H55" i="1"/>
  <c r="H93" i="1"/>
  <c r="H92" i="1" s="1"/>
  <c r="H98" i="1"/>
  <c r="H96" i="1" s="1"/>
  <c r="H95" i="1" s="1"/>
  <c r="G350" i="1"/>
  <c r="H29" i="1"/>
  <c r="H27" i="1" s="1"/>
  <c r="G175" i="1"/>
  <c r="H133" i="1" l="1"/>
  <c r="H150" i="1" s="1"/>
  <c r="H107" i="1"/>
  <c r="H26" i="1"/>
  <c r="H44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<sst xmlns="http://schemas.openxmlformats.org/spreadsheetml/2006/main" count="357" uniqueCount="149">
  <si>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</si>
  <si>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</si>
  <si>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</si>
  <si>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</si>
  <si>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</si>
  <si>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</si>
  <si>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</si>
  <si>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</si>
  <si>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</si>
  <si>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</si>
  <si>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</si>
  <si>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</si>
  <si>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</si>
  <si>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</si>
  <si>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</si>
  <si>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</si>
  <si>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</si>
  <si>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</si>
  <si>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</si>
  <si>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</si>
  <si>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</si>
  <si>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</si>
  <si>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</si>
  <si>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</si>
  <si>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</si>
  <si>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</si>
  <si>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</si>
  <si>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</si>
  <si>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</si>
  <si>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</si>
  <si>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</si>
  <si>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</si>
  <si>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</si>
  <si>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</si>
  <si>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</si>
  <si>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</si>
  <si>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</si>
  <si>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</si>
  <si>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</si>
  <si>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</si>
  <si>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</si>
  <si>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</si>
  <si>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</si>
  <si>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</si>
  <si>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</si>
  <si>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</si>
  <si>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</si>
  <si>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</si>
  <si>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</si>
  <si>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</si>
  <si>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</si>
  <si>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</si>
  <si>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</si>
  <si>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</si>
  <si>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</si>
  <si>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</si>
  <si>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</si>
  <si>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</si>
  <si>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</si>
  <si>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</si>
  <si>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</si>
  <si>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</si>
  <si>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</si>
  <si>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</si>
  <si>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</si>
  <si>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</si>
  <si>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</si>
  <si>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</si>
  <si>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</si>
  <si>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</si>
  <si>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</si>
  <si>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</si>
  <si>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</si>
  <si>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</si>
  <si>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</si>
  <si>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</si>
  <si>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</si>
  <si>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</si>
  <si>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</si>
  <si>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</si>
  <si>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</si>
  <si>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</si>
  <si>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</si>
  <si>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</si>
  <si>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</si>
  <si>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</si>
  <si>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</si>
  <si>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</si>
  <si>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</si>
  <si>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</si>
  <si>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</si>
  <si>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</si>
  <si>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</si>
  <si>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</si>
  <si>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</si>
  <si>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</si>
  <si>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</si>
  <si>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</si>
  <si>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</si>
  <si>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</si>
  <si>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</si>
  <si>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</si>
  <si>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</si>
  <si>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</si>
  <si>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</si>
  <si>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</si>
  <si>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</si>
  <si>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</si>
  <si>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</si>
  <si>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</si>
  <si>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</si>
  <si>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</si>
  <si>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</si>
  <si>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</si>
  <si>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</si>
  <si>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</si>
  <si>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</si>
  <si>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</si>
  <si>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</si>
  <si>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</si>
  <si>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</si>
  <si>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</si>
  <si>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</si>
  <si>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</si>
  <si>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</si>
  <si>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2 Registrert rekreasjonsfiske utgjør 1 tonn, men det legges til grunn at hele avsetningen tas</t>
  </si>
  <si>
    <t>4 Registrert rekreasjonsfiske utgjør 6 tonn, men det legges til grunn at hele avsetningen tas</t>
  </si>
  <si>
    <t>3 Registrert rekreasjonsfiske utgjør 9 tonn, men det legges til grunn at hele avsetningen tas</t>
  </si>
  <si>
    <t>FANGST UKE 3</t>
  </si>
  <si>
    <t>FANGST T.O.M UKE 3</t>
  </si>
  <si>
    <t>RESTKVOTER UKE 3</t>
  </si>
  <si>
    <t>FANGST T.O.M UKE 3 2024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</si>
  <si>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</si>
  <si>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t>4  Kvoter justert for kvotefleksibilitet, dvs. kvoteoverføringer fra 2024, disse vil være ferdigstilt ila februar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</si>
  <si>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</si>
  <si>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</si>
  <si>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</si>
  <si>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</si>
  <si>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</si>
  <si>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</si>
  <si>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2024, disse vil være ferdigstilt ila februar</t>
    </r>
  </si>
  <si>
    <r>
      <t xml:space="preserve">1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</si>
  <si>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t xml:space="preserve">2 </t>
    </r>
    <r>
      <rPr>
        <sz val="9"/>
        <rFont val="Calibri"/>
        <family val="2"/>
      </rPr>
      <t>14 094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</si>
  <si>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</si>
  <si>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</si>
  <si>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</si>
  <si>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t>FANGST AV TORSK, HYSE, SEI, BLÅKVEITE, SNABELUER, LANGE, BROSME OG REKER I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</si>
  <si>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2024, disse vil være ferdigstilt ila februar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</si>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</sst>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407" zoomScale="145" zoomScaleNormal="85" zoomScaleSheetLayoutView="100" zoomScalePageLayoutView="145" workbookViewId="0">
      <selection activeCell="C156" sqref="C156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3" t="s">
        <v>146</v>
      </c>
      <c r="C2" s="304"/>
      <c r="D2" s="304"/>
      <c r="E2" s="304"/>
      <c r="F2" s="304"/>
      <c r="G2" s="304"/>
      <c r="H2" s="304"/>
      <c r="I2" s="304"/>
      <c r="J2" s="305"/>
    </row>
    <row r="3" spans="1:10" ht="14.85" customHeight="1" x14ac:dyDescent="0.2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25">
      <c r="A17" s="101"/>
      <c r="B17" s="24"/>
      <c r="C17" s="302"/>
      <c r="D17" s="302"/>
      <c r="E17" s="302"/>
      <c r="F17" s="302"/>
      <c r="G17" s="302"/>
      <c r="H17" s="30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128</v>
      </c>
      <c r="G22" s="68" t="s">
        <v>129</v>
      </c>
      <c r="H22" s="68" t="s">
        <v>130</v>
      </c>
      <c r="I22" s="68" t="s">
        <v>131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152.31869999999998</v>
      </c>
      <c r="G23" s="28">
        <f t="shared" si="0"/>
        <v>1509.3672000000001</v>
      </c>
      <c r="H23" s="11">
        <f t="shared" si="0"/>
        <v>37158.632799999999</v>
      </c>
      <c r="I23" s="11">
        <f t="shared" si="0"/>
        <v>1336.2809999999999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37918</v>
      </c>
      <c r="E24" s="45">
        <v>37918</v>
      </c>
      <c r="F24" s="23">
        <f>107.7657</f>
        <v>107.7657</v>
      </c>
      <c r="G24" s="23">
        <f>1460.8557</f>
        <v>1460.8557000000001</v>
      </c>
      <c r="H24" s="23">
        <f>E24-G24</f>
        <v>36457.1443</v>
      </c>
      <c r="I24" s="23">
        <f>1335.681</f>
        <v>1335.681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750</v>
      </c>
      <c r="F25" s="171">
        <f>44.553</f>
        <v>44.552999999999997</v>
      </c>
      <c r="G25" s="23">
        <f>48.5115</f>
        <v>48.511499999999998</v>
      </c>
      <c r="H25" s="23">
        <f>E25-G25</f>
        <v>701.48850000000004</v>
      </c>
      <c r="I25" s="23">
        <f>0.6</f>
        <v>0.6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361.00178999999997</v>
      </c>
      <c r="G26" s="11">
        <f t="shared" si="1"/>
        <v>1518.1336799999999</v>
      </c>
      <c r="H26" s="11">
        <f t="shared" si="1"/>
        <v>110944.86632</v>
      </c>
      <c r="I26" s="11">
        <f t="shared" si="1"/>
        <v>4108.3791499999998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312.19680999999997</v>
      </c>
      <c r="G27" s="132">
        <f t="shared" ref="G27:I27" si="2">G28+G29+G30+G31+G32</f>
        <v>1234.4719</v>
      </c>
      <c r="H27" s="132">
        <f t="shared" si="2"/>
        <v>87785.528099999996</v>
      </c>
      <c r="I27" s="132">
        <f t="shared" si="2"/>
        <v>3686.5565099999999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22666</v>
      </c>
      <c r="E28" s="63">
        <v>22666</v>
      </c>
      <c r="F28" s="203">
        <f>93.56471</f>
        <v>93.564710000000005</v>
      </c>
      <c r="G28" s="127">
        <f>378.41383 - G56</f>
        <v>378.41383000000002</v>
      </c>
      <c r="H28" s="127">
        <f t="shared" ref="H28:H40" si="3">E28-G28</f>
        <v>22287.586169999999</v>
      </c>
      <c r="I28" s="127">
        <f>939.43248 - H56</f>
        <v>939.43248000000006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22686</v>
      </c>
      <c r="E29" s="63">
        <v>22686</v>
      </c>
      <c r="F29" s="127">
        <f>114.27751</f>
        <v>114.27751000000001</v>
      </c>
      <c r="G29" s="127">
        <f>539.40066 - G57</f>
        <v>539.40066000000002</v>
      </c>
      <c r="H29" s="127">
        <f t="shared" si="3"/>
        <v>22146.599340000001</v>
      </c>
      <c r="I29" s="127">
        <f>1555.61329 - H57</f>
        <v>1555.61329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20630</v>
      </c>
      <c r="E30" s="63">
        <v>20630</v>
      </c>
      <c r="F30" s="127">
        <f>73.41161</f>
        <v>73.411609999999996</v>
      </c>
      <c r="G30" s="127">
        <f>238.64833 - G58</f>
        <v>238.64832999999999</v>
      </c>
      <c r="H30" s="127">
        <f t="shared" si="3"/>
        <v>20391.35167</v>
      </c>
      <c r="I30" s="127">
        <f>829.74639 - H58</f>
        <v>829.74639000000002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15166</v>
      </c>
      <c r="E31" s="63">
        <v>15166</v>
      </c>
      <c r="F31" s="127">
        <f>30.94298</f>
        <v>30.942979999999999</v>
      </c>
      <c r="G31" s="127">
        <f>78.00908 - G59</f>
        <v>78.009079999999997</v>
      </c>
      <c r="H31" s="127">
        <f t="shared" si="3"/>
        <v>15087.99092</v>
      </c>
      <c r="I31" s="127">
        <f>361.76435 - H59</f>
        <v>361.76434999999998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7872</v>
      </c>
      <c r="F32" s="127">
        <f>F55</f>
        <v>0</v>
      </c>
      <c r="G32" s="127">
        <f>G55</f>
        <v>0</v>
      </c>
      <c r="H32" s="127">
        <f t="shared" si="3"/>
        <v>7872</v>
      </c>
      <c r="I32" s="127">
        <f>I55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12624</v>
      </c>
      <c r="E33" s="58">
        <v>12624</v>
      </c>
      <c r="F33" s="132">
        <f>9.8445</f>
        <v>9.8445</v>
      </c>
      <c r="G33" s="132">
        <f>93.67303</f>
        <v>93.673029999999997</v>
      </c>
      <c r="H33" s="132">
        <f t="shared" si="3"/>
        <v>12530.32697</v>
      </c>
      <c r="I33" s="132">
        <f>130.70242</f>
        <v>130.70241999999999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38.960479999999997</v>
      </c>
      <c r="G34" s="132">
        <f>G35+G36</f>
        <v>189.98875000000001</v>
      </c>
      <c r="H34" s="132">
        <f t="shared" si="3"/>
        <v>10629.01125</v>
      </c>
      <c r="I34" s="132">
        <f>I35+I36</f>
        <v>291.12022000000002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9859</v>
      </c>
      <c r="E35" s="63">
        <v>9859</v>
      </c>
      <c r="F35" s="127">
        <f>38.96048</f>
        <v>38.960479999999997</v>
      </c>
      <c r="G35" s="132">
        <f>189.98875 - G60 - G61</f>
        <v>189.98875000000001</v>
      </c>
      <c r="H35" s="127">
        <f t="shared" si="3"/>
        <v>9669.0112499999996</v>
      </c>
      <c r="I35" s="127">
        <f>291.12022 - I60 - I61</f>
        <v>291.12022000000002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0</v>
      </c>
      <c r="G36" s="71">
        <f>G60</f>
        <v>0</v>
      </c>
      <c r="H36" s="71">
        <f t="shared" si="3"/>
        <v>960</v>
      </c>
      <c r="I36" s="71">
        <f>I60</f>
        <v>0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1000</v>
      </c>
      <c r="E37" s="143">
        <v>1000</v>
      </c>
      <c r="F37" s="139">
        <f>0</f>
        <v>0</v>
      </c>
      <c r="G37" s="139">
        <f>0</f>
        <v>0</v>
      </c>
      <c r="H37" s="139">
        <f t="shared" si="3"/>
        <v>1000</v>
      </c>
      <c r="I37" s="139">
        <f>0</f>
        <v>0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3.081</f>
        <v>3.081</v>
      </c>
      <c r="G38" s="98">
        <f>12.34201</f>
        <v>12.34201</v>
      </c>
      <c r="H38" s="98">
        <f t="shared" si="3"/>
        <v>842.65799000000004</v>
      </c>
      <c r="I38" s="98">
        <f>5.526</f>
        <v>5.5259999999999998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0</v>
      </c>
      <c r="G39" s="98">
        <f>G61</f>
        <v>0</v>
      </c>
      <c r="H39" s="98">
        <f t="shared" si="3"/>
        <v>3000</v>
      </c>
      <c r="I39" s="98">
        <f>I61</f>
        <v>0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3.38332</f>
        <v>3.3833199999999999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450</v>
      </c>
      <c r="E41" s="143">
        <v>450</v>
      </c>
      <c r="F41" s="98">
        <f>4.4949</f>
        <v>4.4949000000000003</v>
      </c>
      <c r="G41" s="98">
        <f>8.51292</f>
        <v>8.5129199999999994</v>
      </c>
      <c r="H41" s="98">
        <f>E41-G41</f>
        <v>441.48707999999999</v>
      </c>
      <c r="I41" s="98">
        <f>0.4575</f>
        <v>0.45750000000000002</v>
      </c>
      <c r="J41" s="244"/>
    </row>
    <row r="42" spans="1:13" ht="17.25" customHeight="1" x14ac:dyDescent="0.25">
      <c r="A42" s="1"/>
      <c r="B42" s="254"/>
      <c r="C42" s="73"/>
      <c r="D42" s="143"/>
      <c r="E42" s="139"/>
      <c r="F42" s="98"/>
      <c r="G42" s="98"/>
      <c r="H42" s="98"/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3.302</f>
        <v>3.302</v>
      </c>
      <c r="G43" s="139">
        <f>12.266</f>
        <v>12.266</v>
      </c>
      <c r="H43" s="139">
        <f t="shared" ref="H43" si="4">E43-G43</f>
        <v>-12.266</v>
      </c>
      <c r="I43" s="139">
        <f>3.922</f>
        <v>3.9220000000000002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163436</v>
      </c>
      <c r="E44" s="76">
        <f t="shared" si="5"/>
        <v>163436</v>
      </c>
      <c r="F44" s="76">
        <f t="shared" si="5"/>
        <v>527.58171000000004</v>
      </c>
      <c r="G44" s="76">
        <f t="shared" si="5"/>
        <v>10060.621809999999</v>
      </c>
      <c r="H44" s="76">
        <f t="shared" si="5"/>
        <v>153375.37818999999</v>
      </c>
      <c r="I44" s="76">
        <f t="shared" si="5"/>
        <v>12454.56565</v>
      </c>
      <c r="J44" s="244"/>
    </row>
    <row r="45" spans="1:13" ht="14.1" customHeight="1" x14ac:dyDescent="0.25">
      <c r="A45" s="101"/>
      <c r="B45" s="24"/>
      <c r="C45" s="77" t="s">
        <v>132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127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133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123</v>
      </c>
      <c r="F54" s="68" t="s">
        <v>128</v>
      </c>
      <c r="G54" s="68" t="s">
        <v>129</v>
      </c>
      <c r="H54" s="68" t="s">
        <v>130</v>
      </c>
      <c r="I54" s="68" t="s">
        <v>131</v>
      </c>
      <c r="J54" s="244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295">
        <v>7872</v>
      </c>
      <c r="F55" s="11">
        <f>F59+F58+F57+F56</f>
        <v>0</v>
      </c>
      <c r="G55" s="11">
        <f>G59+G58+G57+G56</f>
        <v>0</v>
      </c>
      <c r="H55" s="295">
        <f>E55-G55</f>
        <v>7872</v>
      </c>
      <c r="I55" s="11">
        <f>I59+I58+I57+I56</f>
        <v>0</v>
      </c>
      <c r="J55" s="120"/>
    </row>
    <row r="56" spans="1:10" ht="14.1" customHeight="1" x14ac:dyDescent="0.25">
      <c r="A56" s="101"/>
      <c r="B56" s="24"/>
      <c r="C56" s="62" t="s">
        <v>24</v>
      </c>
      <c r="D56" s="296"/>
      <c r="E56" s="296"/>
      <c r="F56" s="127"/>
      <c r="G56" s="127"/>
      <c r="H56" s="296"/>
      <c r="I56" s="127"/>
      <c r="J56" s="120"/>
    </row>
    <row r="57" spans="1:10" ht="14.1" customHeight="1" x14ac:dyDescent="0.25">
      <c r="A57" s="101"/>
      <c r="B57" s="24"/>
      <c r="C57" s="62" t="s">
        <v>25</v>
      </c>
      <c r="D57" s="296"/>
      <c r="E57" s="296"/>
      <c r="F57" s="127"/>
      <c r="G57" s="127"/>
      <c r="H57" s="296"/>
      <c r="I57" s="127"/>
      <c r="J57" s="244"/>
    </row>
    <row r="58" spans="1:10" ht="14.1" customHeight="1" x14ac:dyDescent="0.25">
      <c r="A58" s="101"/>
      <c r="B58" s="24"/>
      <c r="C58" s="62" t="s">
        <v>26</v>
      </c>
      <c r="D58" s="296"/>
      <c r="E58" s="296"/>
      <c r="F58" s="127"/>
      <c r="G58" s="127"/>
      <c r="H58" s="296"/>
      <c r="I58" s="127"/>
      <c r="J58" s="120"/>
    </row>
    <row r="59" spans="1:10" ht="14.1" customHeight="1" x14ac:dyDescent="0.25">
      <c r="A59" s="101"/>
      <c r="B59" s="24"/>
      <c r="C59" s="87" t="s">
        <v>27</v>
      </c>
      <c r="D59" s="297"/>
      <c r="E59" s="297"/>
      <c r="F59" s="192"/>
      <c r="G59" s="192"/>
      <c r="H59" s="297"/>
      <c r="I59" s="192"/>
      <c r="J59" s="120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960</v>
      </c>
      <c r="F60" s="95"/>
      <c r="G60" s="95"/>
      <c r="H60" s="95">
        <f>E60-G60</f>
        <v>960</v>
      </c>
      <c r="I60" s="95"/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3000</v>
      </c>
      <c r="F61" s="139"/>
      <c r="G61" s="139"/>
      <c r="H61" s="139">
        <f>E61-G61</f>
        <v>3000</v>
      </c>
      <c r="I61" s="139"/>
      <c r="J61" s="120"/>
    </row>
    <row r="62" spans="1:10" ht="14.1" customHeight="1" x14ac:dyDescent="0.25">
      <c r="A62" s="101"/>
      <c r="B62" s="24"/>
      <c r="C62" s="77" t="s">
        <v>134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25">
      <c r="B82" s="254"/>
      <c r="C82" s="115" t="s">
        <v>6</v>
      </c>
      <c r="D82" s="117">
        <v>65468</v>
      </c>
      <c r="E82" s="259" t="s">
        <v>4</v>
      </c>
      <c r="F82" s="114">
        <v>24193</v>
      </c>
      <c r="G82" s="191" t="s">
        <v>5</v>
      </c>
      <c r="H82" s="114">
        <v>7105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56468</v>
      </c>
      <c r="E83" s="248" t="s">
        <v>7</v>
      </c>
      <c r="F83" s="117">
        <v>39474</v>
      </c>
      <c r="G83" s="191" t="s">
        <v>8</v>
      </c>
      <c r="H83" s="117">
        <v>29211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8064</v>
      </c>
      <c r="E84" s="115" t="s">
        <v>10</v>
      </c>
      <c r="F84" s="117">
        <v>1801</v>
      </c>
      <c r="G84" s="191" t="s">
        <v>11</v>
      </c>
      <c r="H84" s="117">
        <v>3158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130000</v>
      </c>
      <c r="E85" s="177" t="s">
        <v>14</v>
      </c>
      <c r="F85" s="189">
        <f>SUM(F82:F84)</f>
        <v>65468</v>
      </c>
      <c r="G85" s="177" t="s">
        <v>7</v>
      </c>
      <c r="H85" s="189">
        <f>SUM(H82:H84)</f>
        <v>39474</v>
      </c>
      <c r="I85" s="178"/>
      <c r="J85" s="244"/>
    </row>
    <row r="86" spans="1:10" ht="14.25" customHeight="1" x14ac:dyDescent="0.25">
      <c r="A86" s="1"/>
      <c r="B86" s="254"/>
      <c r="C86" s="101"/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128</v>
      </c>
      <c r="G91" s="15" t="s">
        <v>129</v>
      </c>
      <c r="H91" s="15" t="s">
        <v>130</v>
      </c>
      <c r="I91" s="15" t="s">
        <v>131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24193</v>
      </c>
      <c r="E92" s="28">
        <f>E94+E93</f>
        <v>24193</v>
      </c>
      <c r="F92" s="11">
        <f t="shared" ref="F92:I92" si="6">F94+F93</f>
        <v>7.9870000000000001</v>
      </c>
      <c r="G92" s="11">
        <f t="shared" si="6"/>
        <v>226.7244</v>
      </c>
      <c r="H92" s="11">
        <f t="shared" si="6"/>
        <v>23966.275599999997</v>
      </c>
      <c r="I92" s="11">
        <f t="shared" si="6"/>
        <v>140.81059999999999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23443</v>
      </c>
      <c r="E93" s="45">
        <v>23443</v>
      </c>
      <c r="F93" s="23">
        <f>7.3682</f>
        <v>7.3681999999999999</v>
      </c>
      <c r="G93" s="23">
        <f>225.9082</f>
        <v>225.90819999999999</v>
      </c>
      <c r="H93" s="23">
        <f>E93-G93</f>
        <v>23217.091799999998</v>
      </c>
      <c r="I93" s="23">
        <f>140.7616</f>
        <v>140.76159999999999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750</v>
      </c>
      <c r="F94" s="50">
        <f>0.6188</f>
        <v>0.61880000000000002</v>
      </c>
      <c r="G94" s="50">
        <f>0.8162</f>
        <v>0.81620000000000004</v>
      </c>
      <c r="H94" s="50">
        <f>E94-G94</f>
        <v>749.18380000000002</v>
      </c>
      <c r="I94" s="50">
        <f>0.049</f>
        <v>4.9000000000000002E-2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40606</v>
      </c>
      <c r="E95" s="28">
        <f>E96+E101+E102</f>
        <v>40606</v>
      </c>
      <c r="F95" s="11">
        <f t="shared" ref="F95:I95" si="7">F96+F101+F102</f>
        <v>167.79809</v>
      </c>
      <c r="G95" s="11">
        <f t="shared" si="7"/>
        <v>874.30000000000007</v>
      </c>
      <c r="H95" s="11">
        <f t="shared" si="7"/>
        <v>39731.699999999997</v>
      </c>
      <c r="I95" s="11">
        <f t="shared" si="7"/>
        <v>1528.1008099999999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30343</v>
      </c>
      <c r="E96" s="58">
        <f>E100+E99+E98+E97</f>
        <v>30343</v>
      </c>
      <c r="F96" s="132">
        <f t="shared" ref="F96:I96" si="8">F97+F98+F99+F100</f>
        <v>145.87431999999998</v>
      </c>
      <c r="G96" s="132">
        <f t="shared" si="8"/>
        <v>729.52525000000003</v>
      </c>
      <c r="H96" s="132">
        <f t="shared" si="8"/>
        <v>29613.474749999998</v>
      </c>
      <c r="I96" s="132">
        <f t="shared" si="8"/>
        <v>1262.6243300000001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8110</v>
      </c>
      <c r="E97" s="63">
        <v>8110</v>
      </c>
      <c r="F97" s="127">
        <f>66.16873</f>
        <v>66.168729999999996</v>
      </c>
      <c r="G97" s="127">
        <f>385.77773</f>
        <v>385.77773000000002</v>
      </c>
      <c r="H97" s="127">
        <f t="shared" ref="H97:H104" si="9">E97-G97</f>
        <v>7724.2222700000002</v>
      </c>
      <c r="I97" s="127">
        <f>576.2467</f>
        <v>576.24670000000003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8591</v>
      </c>
      <c r="E98" s="63">
        <v>8591</v>
      </c>
      <c r="F98" s="127">
        <f>63.96457</f>
        <v>63.964570000000002</v>
      </c>
      <c r="G98" s="127">
        <f>246.81205</f>
        <v>246.81205</v>
      </c>
      <c r="H98" s="127">
        <f t="shared" si="9"/>
        <v>8344.1879499999995</v>
      </c>
      <c r="I98" s="127">
        <f>517.48828</f>
        <v>517.48828000000003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8179</v>
      </c>
      <c r="E99" s="63">
        <v>8179</v>
      </c>
      <c r="F99" s="127">
        <f>3.40282</f>
        <v>3.4028200000000002</v>
      </c>
      <c r="G99" s="127">
        <f>64.08728</f>
        <v>64.087280000000007</v>
      </c>
      <c r="H99" s="127">
        <f t="shared" si="9"/>
        <v>8114.9127200000003</v>
      </c>
      <c r="I99" s="127">
        <f>121.57059</f>
        <v>121.57059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5463</v>
      </c>
      <c r="E100" s="63">
        <v>5463</v>
      </c>
      <c r="F100" s="127">
        <f>12.3382</f>
        <v>12.338200000000001</v>
      </c>
      <c r="G100" s="127">
        <f>32.84819</f>
        <v>32.848190000000002</v>
      </c>
      <c r="H100" s="127">
        <f t="shared" si="9"/>
        <v>5430.1518100000003</v>
      </c>
      <c r="I100" s="127">
        <f>47.31876</f>
        <v>47.318759999999997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7105</v>
      </c>
      <c r="E101" s="58">
        <v>7105</v>
      </c>
      <c r="F101" s="132">
        <f>1.0431</f>
        <v>1.0430999999999999</v>
      </c>
      <c r="G101" s="132">
        <f>3.95546</f>
        <v>3.95546</v>
      </c>
      <c r="H101" s="132">
        <f t="shared" si="9"/>
        <v>7101.0445399999999</v>
      </c>
      <c r="I101" s="132">
        <f>8.09163</f>
        <v>8.0916300000000003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3158</v>
      </c>
      <c r="E102" s="61">
        <v>3158</v>
      </c>
      <c r="F102" s="75">
        <f>20.88067</f>
        <v>20.880669999999999</v>
      </c>
      <c r="G102" s="75">
        <f>140.81929</f>
        <v>140.81929</v>
      </c>
      <c r="H102" s="75">
        <f t="shared" si="9"/>
        <v>3017.1807100000001</v>
      </c>
      <c r="I102" s="75">
        <f>257.38485</f>
        <v>257.38484999999997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0.0285</f>
        <v>2.8500000000000001E-2</v>
      </c>
      <c r="G103" s="98">
        <f>0.2063</f>
        <v>0.20630000000000001</v>
      </c>
      <c r="H103" s="98">
        <f t="shared" si="9"/>
        <v>318.7937</v>
      </c>
      <c r="I103" s="98">
        <f>0.19152</f>
        <v>0.19152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0.33387</f>
        <v>0.33387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0.40446</f>
        <v>0.40445999999999999</v>
      </c>
      <c r="G105" s="98">
        <f>5.63396</f>
        <v>5.6339600000000001</v>
      </c>
      <c r="H105" s="139">
        <f>E105-G105</f>
        <v>44.366039999999998</v>
      </c>
      <c r="I105" s="98">
        <f>2.223</f>
        <v>2.2229999999999999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0.1</f>
        <v>0.1</v>
      </c>
      <c r="G106" s="139">
        <f>0.36</f>
        <v>0.36</v>
      </c>
      <c r="H106" s="139">
        <f t="shared" ref="H106" si="10">E106-G106</f>
        <v>-0.36</v>
      </c>
      <c r="I106" s="139">
        <f>0.996</f>
        <v>0.996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65468</v>
      </c>
      <c r="E107" s="76">
        <f t="shared" ref="E107" si="11">E92+E95+E103+E104+E105+E106</f>
        <v>65468</v>
      </c>
      <c r="F107" s="76">
        <f t="shared" ref="F107:I107" si="12">F92+F95+F103+F104+F105+F106</f>
        <v>176.65191999999999</v>
      </c>
      <c r="G107" s="76">
        <f t="shared" si="12"/>
        <v>1407.2246599999999</v>
      </c>
      <c r="H107" s="76">
        <f t="shared" si="12"/>
        <v>64060.775339999993</v>
      </c>
      <c r="I107" s="76">
        <f t="shared" si="12"/>
        <v>1972.3219300000001</v>
      </c>
      <c r="J107" s="244"/>
    </row>
    <row r="108" spans="1:10" ht="13.5" customHeight="1" x14ac:dyDescent="0.25">
      <c r="A108" s="1"/>
      <c r="B108" s="254"/>
      <c r="C108" s="77" t="s">
        <v>135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125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136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2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179367</v>
      </c>
      <c r="E119" s="99" t="s">
        <v>4</v>
      </c>
      <c r="F119" s="114">
        <v>64787</v>
      </c>
      <c r="G119" s="115" t="s">
        <v>5</v>
      </c>
      <c r="H119" s="114">
        <v>7319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66538</v>
      </c>
      <c r="G120" s="115" t="s">
        <v>8</v>
      </c>
      <c r="H120" s="117">
        <v>49904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1650</v>
      </c>
      <c r="E121" s="115" t="s">
        <v>59</v>
      </c>
      <c r="F121" s="117">
        <v>43775</v>
      </c>
      <c r="G121" s="115" t="s">
        <v>11</v>
      </c>
      <c r="H121" s="117">
        <v>9315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4267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193117</v>
      </c>
      <c r="E123" s="112" t="s">
        <v>14</v>
      </c>
      <c r="F123" s="189">
        <v>179367</v>
      </c>
      <c r="G123" s="177" t="s">
        <v>7</v>
      </c>
      <c r="H123" s="189">
        <v>66538</v>
      </c>
      <c r="I123" s="178"/>
      <c r="J123" s="244"/>
    </row>
    <row r="124" spans="1:10" ht="12" customHeight="1" x14ac:dyDescent="0.25">
      <c r="A124" s="101"/>
      <c r="B124" s="24"/>
      <c r="C124" s="101" t="s">
        <v>137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128</v>
      </c>
      <c r="G127" s="15" t="s">
        <v>129</v>
      </c>
      <c r="H127" s="15" t="s">
        <v>130</v>
      </c>
      <c r="I127" s="15" t="s">
        <v>131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64787</v>
      </c>
      <c r="E128" s="28">
        <f>E129+E130+E131</f>
        <v>64787</v>
      </c>
      <c r="F128" s="11">
        <f t="shared" ref="F128:I128" si="13">F129+F130+F131</f>
        <v>113.8691</v>
      </c>
      <c r="G128" s="11">
        <f t="shared" si="13"/>
        <v>371.01569999999998</v>
      </c>
      <c r="H128" s="11">
        <f t="shared" si="13"/>
        <v>64415.984300000004</v>
      </c>
      <c r="I128" s="11">
        <f t="shared" si="13"/>
        <v>1265.2558000000001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51830</v>
      </c>
      <c r="E129" s="45">
        <v>51830</v>
      </c>
      <c r="F129" s="23">
        <f>105.9372</f>
        <v>105.9372</v>
      </c>
      <c r="G129" s="23">
        <f>362.3562</f>
        <v>362.3562</v>
      </c>
      <c r="H129" s="23">
        <f>E129-G129</f>
        <v>51467.643799999998</v>
      </c>
      <c r="I129" s="23">
        <f>1256.0913</f>
        <v>1256.0913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12457</v>
      </c>
      <c r="E130" s="45">
        <v>12457</v>
      </c>
      <c r="F130" s="23">
        <f>2.9889</f>
        <v>2.9889000000000001</v>
      </c>
      <c r="G130" s="23">
        <f>3.2265</f>
        <v>3.2265000000000001</v>
      </c>
      <c r="H130" s="23">
        <f>E130-G130</f>
        <v>12453.773499999999</v>
      </c>
      <c r="I130" s="23">
        <f>0.1485</f>
        <v>0.14849999999999999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4.943</f>
        <v>4.9429999999999996</v>
      </c>
      <c r="G131" s="23">
        <f>5.433</f>
        <v>5.4329999999999998</v>
      </c>
      <c r="H131" s="55">
        <f>E131-G131</f>
        <v>494.56700000000001</v>
      </c>
      <c r="I131" s="23">
        <f>9.016</f>
        <v>9.016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43775</v>
      </c>
      <c r="E132" s="91">
        <v>43775</v>
      </c>
      <c r="F132" s="95">
        <f>2.633</f>
        <v>2.633</v>
      </c>
      <c r="G132" s="95">
        <f>17.583</f>
        <v>17.582999999999998</v>
      </c>
      <c r="H132" s="95">
        <f>E132-G132</f>
        <v>43757.417000000001</v>
      </c>
      <c r="I132" s="95">
        <f>15.741</f>
        <v>15.741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67996</v>
      </c>
      <c r="E133" s="143">
        <f>E134+E139+E142</f>
        <v>67996</v>
      </c>
      <c r="F133" s="94">
        <f>F134+F139+F142</f>
        <v>944.79381000000012</v>
      </c>
      <c r="G133" s="94">
        <f t="shared" ref="G133" si="14">G134+G139+G142</f>
        <v>4318.60484</v>
      </c>
      <c r="H133" s="94">
        <f>H134+H139+H142</f>
        <v>63677.39516</v>
      </c>
      <c r="I133" s="94">
        <f>I134+I139+I142</f>
        <v>7157.33968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51362</v>
      </c>
      <c r="E134" s="122">
        <f>E135+E136+E137+E138</f>
        <v>51362</v>
      </c>
      <c r="F134" s="125">
        <f>F135+F136+F137+F138</f>
        <v>838.9153500000001</v>
      </c>
      <c r="G134" s="125">
        <f>G135+G136+G138+G137</f>
        <v>3891.0482300000003</v>
      </c>
      <c r="H134" s="125">
        <f>H135+H136+H137+H138</f>
        <v>47470.95177</v>
      </c>
      <c r="I134" s="125">
        <f>I135+I136+I137+I138</f>
        <v>6344.52009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13661</v>
      </c>
      <c r="E135" s="63">
        <v>13661</v>
      </c>
      <c r="F135" s="127">
        <f>254.96294</f>
        <v>254.96294</v>
      </c>
      <c r="G135" s="127">
        <f>1006.66458</f>
        <v>1006.66458</v>
      </c>
      <c r="H135" s="127">
        <f>E135-G135</f>
        <v>12654.335419999999</v>
      </c>
      <c r="I135" s="127">
        <f>1482.92981</f>
        <v>1482.9298100000001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14094</v>
      </c>
      <c r="E136" s="63">
        <v>14094</v>
      </c>
      <c r="F136" s="127">
        <f>299.97247</f>
        <v>299.97246999999999</v>
      </c>
      <c r="G136" s="127">
        <f>1301.72485</f>
        <v>1301.7248500000001</v>
      </c>
      <c r="H136" s="127">
        <f>E136-G136</f>
        <v>12792.275149999999</v>
      </c>
      <c r="I136" s="127">
        <f>2324.53448</f>
        <v>2324.5344799999998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12169</v>
      </c>
      <c r="E137" s="63">
        <v>12169</v>
      </c>
      <c r="F137" s="127">
        <f>139.34829</f>
        <v>139.34828999999999</v>
      </c>
      <c r="G137" s="127">
        <f>874.60332</f>
        <v>874.60332000000005</v>
      </c>
      <c r="H137" s="127">
        <f>E137-G137</f>
        <v>11294.39668</v>
      </c>
      <c r="I137" s="127">
        <f>1419.72293</f>
        <v>1419.7229299999999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11438</v>
      </c>
      <c r="E138" s="63">
        <v>11438</v>
      </c>
      <c r="F138" s="127">
        <f>144.63165</f>
        <v>144.63165000000001</v>
      </c>
      <c r="G138" s="127">
        <f>708.05548</f>
        <v>708.05547999999999</v>
      </c>
      <c r="H138" s="127">
        <f>E138-G138</f>
        <v>10729.944520000001</v>
      </c>
      <c r="I138" s="127">
        <f>1117.33287</f>
        <v>1117.33287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7319</v>
      </c>
      <c r="E139" s="58">
        <f>E140+E141</f>
        <v>7319</v>
      </c>
      <c r="F139" s="132">
        <f>SUM(F140:F141)</f>
        <v>12.8772</v>
      </c>
      <c r="G139" s="132">
        <f>SUM(G140:G141)</f>
        <v>102.40443</v>
      </c>
      <c r="H139" s="132">
        <f>H140+H141</f>
        <v>7216.5955699999995</v>
      </c>
      <c r="I139" s="132">
        <f>SUM(I140:I141)</f>
        <v>296.87085000000002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6819</v>
      </c>
      <c r="E140" s="63">
        <v>6819</v>
      </c>
      <c r="F140" s="127">
        <f>12.8772</f>
        <v>12.8772</v>
      </c>
      <c r="G140" s="127">
        <f>92.99523</f>
        <v>92.995230000000006</v>
      </c>
      <c r="H140" s="127">
        <f t="shared" ref="H140:H148" si="15">E140-G140</f>
        <v>6726.0047699999996</v>
      </c>
      <c r="I140" s="127">
        <f>282.23205</f>
        <v>282.23205000000002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9.4092</f>
        <v>9.4092000000000002</v>
      </c>
      <c r="H141" s="127">
        <f t="shared" si="15"/>
        <v>490.5908</v>
      </c>
      <c r="I141" s="127">
        <f>14.6388</f>
        <v>14.6388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9315</v>
      </c>
      <c r="E142" s="61">
        <v>9315</v>
      </c>
      <c r="F142" s="75">
        <f>93.00126</f>
        <v>93.001260000000002</v>
      </c>
      <c r="G142" s="75">
        <f>325.15218</f>
        <v>325.15217999999999</v>
      </c>
      <c r="H142" s="75">
        <f t="shared" si="15"/>
        <v>8989.8478200000009</v>
      </c>
      <c r="I142" s="75">
        <f>515.94874</f>
        <v>515.94874000000004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0.07155</f>
        <v>7.1550000000000002E-2</v>
      </c>
      <c r="G143" s="139">
        <f>1.06545</f>
        <v>1.06545</v>
      </c>
      <c r="H143" s="139">
        <f t="shared" si="15"/>
        <v>144.93455</v>
      </c>
      <c r="I143" s="139">
        <f>0.20655</f>
        <v>0.20655000000000001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350</v>
      </c>
      <c r="E144" s="89">
        <v>350</v>
      </c>
      <c r="F144" s="98">
        <f>0</f>
        <v>0</v>
      </c>
      <c r="G144" s="98">
        <f>0</f>
        <v>0</v>
      </c>
      <c r="H144" s="98">
        <f t="shared" si="15"/>
        <v>350</v>
      </c>
      <c r="I144" s="98">
        <f>0</f>
        <v>0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2.41292</f>
        <v>2.4129200000000002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313</v>
      </c>
      <c r="E147" s="143">
        <v>313</v>
      </c>
      <c r="F147" s="98">
        <f>0.9812</f>
        <v>0.98119999999999996</v>
      </c>
      <c r="G147" s="98">
        <f>2.72855</f>
        <v>2.7285499999999998</v>
      </c>
      <c r="H147" s="139">
        <f t="shared" si="15"/>
        <v>310.27145000000002</v>
      </c>
      <c r="I147" s="98">
        <f>2.2248</f>
        <v>2.2248000000000001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1.652</f>
        <v>1.6519999999999999</v>
      </c>
      <c r="G148" s="139">
        <f>35.522</f>
        <v>35.521999999999998</v>
      </c>
      <c r="H148" s="139">
        <f t="shared" si="15"/>
        <v>-35.521999999999998</v>
      </c>
      <c r="I148" s="139">
        <f>29.991</f>
        <v>29.991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179367</v>
      </c>
      <c r="E150" s="76">
        <f t="shared" si="16"/>
        <v>179367</v>
      </c>
      <c r="F150" s="76">
        <f>F128+F132+F133+F143+F144+F145+F146+F147+F148</f>
        <v>1066.4135799999999</v>
      </c>
      <c r="G150" s="76">
        <f>G128+G132+G133+G143+G144+G145+G146+G147+G148</f>
        <v>6746.5195400000002</v>
      </c>
      <c r="H150" s="76">
        <f>H128+H132+H133+H143+H144+H145+H146+H147+H148</f>
        <v>172620.48045999999</v>
      </c>
      <c r="I150" s="76">
        <f>I128+I132+I133+I143+I144+I145+I146+I147+I148</f>
        <v>10470.758830000001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138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139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126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140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9675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v>8625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700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v>19000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128</v>
      </c>
      <c r="F174" s="15" t="s">
        <v>129</v>
      </c>
      <c r="G174" s="54" t="s">
        <v>130</v>
      </c>
      <c r="H174" s="15" t="s">
        <v>131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3762</v>
      </c>
      <c r="E175" s="276">
        <f>1.78246</f>
        <v>1.7824599999999999</v>
      </c>
      <c r="F175" s="276">
        <f>46.73392</f>
        <v>46.733919999999998</v>
      </c>
      <c r="G175" s="43">
        <f>D175-F175-F176</f>
        <v>3715.2660799999999</v>
      </c>
      <c r="H175" s="276">
        <f>59.65345</f>
        <v>59.653449999999999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0</f>
        <v>0</v>
      </c>
      <c r="G176" s="217"/>
      <c r="H176" s="152">
        <f>0</f>
        <v>0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0</f>
        <v>0</v>
      </c>
      <c r="G177" s="172">
        <f>D177-F177</f>
        <v>200</v>
      </c>
      <c r="H177" s="172">
        <f>0.14802</f>
        <v>0.14802000000000001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5642</v>
      </c>
      <c r="E178" s="181">
        <f>E179+E180+E181</f>
        <v>3.8620000000000002E-2</v>
      </c>
      <c r="F178" s="181">
        <f>F179+F180+F181</f>
        <v>3.9072800000000001</v>
      </c>
      <c r="G178" s="181">
        <f>D178-F178</f>
        <v>5638.0927199999996</v>
      </c>
      <c r="H178" s="181">
        <f>H179+H180+H181</f>
        <v>0.41366000000000003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0.0015</f>
        <v>1.5E-3</v>
      </c>
      <c r="F179" s="127">
        <f>0.0584</f>
        <v>5.8400000000000001E-2</v>
      </c>
      <c r="G179" s="127"/>
      <c r="H179" s="127">
        <f>0.01762</f>
        <v>1.762E-2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</f>
        <v>0</v>
      </c>
      <c r="F180" s="127">
        <f>0.9704</f>
        <v>0.97040000000000004</v>
      </c>
      <c r="G180" s="127"/>
      <c r="H180" s="127">
        <f>0.02232</f>
        <v>2.232E-2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0.03712</f>
        <v>3.712E-2</v>
      </c>
      <c r="F181" s="192">
        <f>2.87848</f>
        <v>2.8784800000000001</v>
      </c>
      <c r="G181" s="192"/>
      <c r="H181" s="192">
        <f>0.37372</f>
        <v>0.37372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71</v>
      </c>
      <c r="E182" s="139">
        <f>0</f>
        <v>0</v>
      </c>
      <c r="F182" s="139">
        <f>0</f>
        <v>0</v>
      </c>
      <c r="G182" s="139">
        <f>D182-F182</f>
        <v>71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9675</v>
      </c>
      <c r="E184" s="194">
        <f>E175+E176+E177+E178+E182+E183</f>
        <v>1.82108</v>
      </c>
      <c r="F184" s="194">
        <f>F175+F176+F177+F178+F182+F183</f>
        <v>50.641199999999998</v>
      </c>
      <c r="G184" s="194">
        <f>D184-F184</f>
        <v>9624.3588</v>
      </c>
      <c r="H184" s="194">
        <f>H175+H176+H177+H178+H182+H183</f>
        <v>60.215130000000002</v>
      </c>
      <c r="I184" s="163"/>
      <c r="J184" s="160"/>
    </row>
    <row r="185" spans="1:10" ht="42" customHeight="1" x14ac:dyDescent="0.2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44278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15194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6719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67191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117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142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143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128</v>
      </c>
      <c r="F203" s="68" t="s">
        <v>129</v>
      </c>
      <c r="G203" s="68" t="s">
        <v>130</v>
      </c>
      <c r="H203" s="68" t="s">
        <v>131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44142</v>
      </c>
      <c r="E204" s="124">
        <f>445.60733</f>
        <v>445.60732999999999</v>
      </c>
      <c r="F204" s="124">
        <f>2201.42927</f>
        <v>2201.4292700000001</v>
      </c>
      <c r="G204" s="124">
        <f>D204-F204</f>
        <v>41940.570729999999</v>
      </c>
      <c r="H204" s="124">
        <f>2228.92925</f>
        <v>2228.9292500000001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0.002</f>
        <v>2E-3</v>
      </c>
      <c r="F205" s="124">
        <f>0.2646</f>
        <v>0.2646</v>
      </c>
      <c r="G205" s="124">
        <f>D205-F205</f>
        <v>99.735399999999998</v>
      </c>
      <c r="H205" s="124">
        <f>0.06284</f>
        <v>6.2839999999999993E-2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44278</v>
      </c>
      <c r="E207" s="190">
        <f>SUM(E204:E206)</f>
        <v>445.60933</v>
      </c>
      <c r="F207" s="190">
        <f>SUM(F204:F206)</f>
        <v>2201.6938700000001</v>
      </c>
      <c r="G207" s="190">
        <f>D207-F207</f>
        <v>42076.306129999997</v>
      </c>
      <c r="H207" s="190">
        <f>SUM(H204:H206)</f>
        <v>2228.9920900000002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114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128</v>
      </c>
      <c r="F248" s="68" t="s">
        <v>129</v>
      </c>
      <c r="G248" s="68" t="s">
        <v>130</v>
      </c>
      <c r="H248" s="68" t="s">
        <v>131</v>
      </c>
      <c r="I248" s="1"/>
      <c r="J248" s="120"/>
    </row>
    <row r="249" spans="1:10" ht="15" customHeight="1" x14ac:dyDescent="0.25">
      <c r="A249" s="1"/>
      <c r="B249" s="254"/>
      <c r="C249" s="90" t="s">
        <v>118</v>
      </c>
      <c r="D249" s="124">
        <v>3987</v>
      </c>
      <c r="E249" s="75">
        <f>E250+E251</f>
        <v>0.72830000000000006</v>
      </c>
      <c r="F249" s="75">
        <f>F250+F251</f>
        <v>9.0573499999999996</v>
      </c>
      <c r="G249" s="75">
        <f>D249-F249</f>
        <v>3977.94265</v>
      </c>
      <c r="H249" s="75">
        <f>H250+H251</f>
        <v>31.130780000000001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0.0312</f>
        <v>3.1199999999999999E-2</v>
      </c>
      <c r="F250" s="75">
        <f>2.25112</f>
        <v>2.2511199999999998</v>
      </c>
      <c r="G250" s="75"/>
      <c r="H250" s="75">
        <f>10.82676</f>
        <v>10.82676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0.6971</f>
        <v>0.69710000000000005</v>
      </c>
      <c r="F251" s="124">
        <f>6.80623</f>
        <v>6.8062300000000002</v>
      </c>
      <c r="G251" s="168"/>
      <c r="H251" s="124">
        <f>20.30402</f>
        <v>20.304020000000001</v>
      </c>
      <c r="I251" s="248"/>
      <c r="J251" s="120"/>
    </row>
    <row r="252" spans="1:10" ht="15" customHeight="1" x14ac:dyDescent="0.25">
      <c r="A252" s="1"/>
      <c r="B252" s="254"/>
      <c r="C252" s="90" t="s">
        <v>119</v>
      </c>
      <c r="D252" s="124">
        <v>4613</v>
      </c>
      <c r="E252" s="75">
        <f>24.5518</f>
        <v>24.5518</v>
      </c>
      <c r="F252" s="75">
        <f>130.12722</f>
        <v>130.12721999999999</v>
      </c>
      <c r="G252" s="75">
        <f>D252-F252</f>
        <v>4482.8727799999997</v>
      </c>
      <c r="H252" s="75">
        <f>214.44682</f>
        <v>214.44682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25.280100000000001</v>
      </c>
      <c r="F253" s="190">
        <f>SUM(F249,F252)</f>
        <v>139.18457000000001</v>
      </c>
      <c r="G253" s="190">
        <f>D253-F253</f>
        <v>8460.8154300000006</v>
      </c>
      <c r="H253" s="190">
        <f>SUM(H249,H252)</f>
        <v>245.57760000000002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115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128</v>
      </c>
      <c r="F294" s="68" t="s">
        <v>129</v>
      </c>
      <c r="G294" s="68" t="s">
        <v>130</v>
      </c>
      <c r="H294" s="68" t="s">
        <v>131</v>
      </c>
      <c r="I294" s="1"/>
      <c r="J294" s="120"/>
    </row>
    <row r="295" spans="1:10" ht="15" customHeight="1" x14ac:dyDescent="0.25">
      <c r="A295" s="1"/>
      <c r="B295" s="254"/>
      <c r="C295" s="90" t="s">
        <v>118</v>
      </c>
      <c r="D295" s="124">
        <v>5090</v>
      </c>
      <c r="E295" s="75">
        <f>E296+E297</f>
        <v>0.21969999999999998</v>
      </c>
      <c r="F295" s="75">
        <f>F296+F297</f>
        <v>9.9003999999999994</v>
      </c>
      <c r="G295" s="75">
        <f>D295-F295</f>
        <v>5080.0995999999996</v>
      </c>
      <c r="H295" s="75">
        <f>H296+H297</f>
        <v>9.7815799999999999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0.0288</f>
        <v>2.8799999999999999E-2</v>
      </c>
      <c r="F296" s="75">
        <f>6.9986</f>
        <v>6.9985999999999997</v>
      </c>
      <c r="G296" s="75"/>
      <c r="H296" s="75">
        <f>2.43792</f>
        <v>2.4379200000000001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0.1909</f>
        <v>0.19089999999999999</v>
      </c>
      <c r="F297" s="124">
        <f>2.9018</f>
        <v>2.9018000000000002</v>
      </c>
      <c r="G297" s="168"/>
      <c r="H297" s="124">
        <f>7.34366</f>
        <v>7.3436599999999999</v>
      </c>
      <c r="I297" s="248"/>
      <c r="J297" s="120"/>
    </row>
    <row r="298" spans="1:10" ht="15" customHeight="1" x14ac:dyDescent="0.25">
      <c r="A298" s="1"/>
      <c r="B298" s="254"/>
      <c r="C298" s="90" t="s">
        <v>119</v>
      </c>
      <c r="D298" s="124">
        <v>2981</v>
      </c>
      <c r="E298" s="75">
        <f>31.78746</f>
        <v>31.787459999999999</v>
      </c>
      <c r="F298" s="75">
        <f>170.04662</f>
        <v>170.04661999999999</v>
      </c>
      <c r="G298" s="75">
        <f>D298-F298</f>
        <v>2810.9533799999999</v>
      </c>
      <c r="H298" s="75">
        <f>202.85086</f>
        <v>202.85086000000001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32.007159999999999</v>
      </c>
      <c r="F299" s="190">
        <f>SUM(F295,F298)</f>
        <v>179.94701999999998</v>
      </c>
      <c r="G299" s="190">
        <f>D299-F299</f>
        <v>7891.0529800000004</v>
      </c>
      <c r="H299" s="190">
        <f>SUM(H295,H298)</f>
        <v>212.63244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3003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9419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7106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120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19910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128</v>
      </c>
      <c r="F349" s="68" t="s">
        <v>129</v>
      </c>
      <c r="G349" s="68" t="s">
        <v>130</v>
      </c>
      <c r="H349" s="68" t="s">
        <v>131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8.71708</f>
        <v>8.7170799999999993</v>
      </c>
      <c r="F350" s="124">
        <f>19.84621</f>
        <v>19.846209999999999</v>
      </c>
      <c r="G350" s="124">
        <f>D350-F350</f>
        <v>780.15378999999996</v>
      </c>
      <c r="H350" s="124">
        <f>17.49763</f>
        <v>17.497630000000001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2193</v>
      </c>
      <c r="E351" s="124">
        <f>11.50793</f>
        <v>11.50793</v>
      </c>
      <c r="F351" s="124">
        <f>58.6491</f>
        <v>58.649099999999997</v>
      </c>
      <c r="G351" s="124">
        <f>D351-F351</f>
        <v>2134.3508999999999</v>
      </c>
      <c r="H351" s="124">
        <f>35.88967</f>
        <v>35.889670000000002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0</f>
        <v>0</v>
      </c>
      <c r="G352" s="124">
        <f>D352-F352</f>
        <v>10</v>
      </c>
      <c r="H352" s="168">
        <f>0</f>
        <v>0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</f>
        <v>0</v>
      </c>
      <c r="F353" s="168">
        <f>0</f>
        <v>0</v>
      </c>
      <c r="G353" s="124">
        <f>D353-F353</f>
        <v>0</v>
      </c>
      <c r="H353" s="168">
        <f>0</f>
        <v>0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3003</v>
      </c>
      <c r="E354" s="190">
        <f>SUM(E350:E353)</f>
        <v>20.225009999999997</v>
      </c>
      <c r="F354" s="190">
        <f>SUM(F350:F353)</f>
        <v>78.495309999999989</v>
      </c>
      <c r="G354" s="190">
        <f>D354-F354</f>
        <v>2924.5046900000002</v>
      </c>
      <c r="H354" s="190">
        <f>H350+H351+H352+H353</f>
        <v>53.387300000000003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113</v>
      </c>
    </row>
    <row r="358" spans="1:10" ht="14.1" customHeight="1" x14ac:dyDescent="0.25">
      <c r="A358" s="1" t="s">
        <v>113</v>
      </c>
    </row>
    <row r="359" spans="1:10" ht="14.1" customHeight="1" x14ac:dyDescent="0.25">
      <c r="A359" s="1" t="s">
        <v>113</v>
      </c>
    </row>
    <row r="360" spans="1:10" ht="14.1" customHeight="1" x14ac:dyDescent="0.25">
      <c r="A360" s="1"/>
      <c r="C360" s="150" t="s">
        <v>113</v>
      </c>
    </row>
    <row r="361" spans="1:10" x14ac:dyDescent="0.25">
      <c r="A361" s="1"/>
      <c r="C361" s="150" t="s">
        <v>113</v>
      </c>
    </row>
    <row r="362" spans="1:10" ht="14.1" customHeight="1" x14ac:dyDescent="0.25">
      <c r="A362" s="1"/>
      <c r="C362" s="150" t="s">
        <v>113</v>
      </c>
    </row>
    <row r="363" spans="1:10" ht="14.1" customHeight="1" x14ac:dyDescent="0.25">
      <c r="A363" s="1"/>
      <c r="C363" s="150" t="s">
        <v>113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f>37252+1500-880</f>
        <v>37872</v>
      </c>
      <c r="E368" s="252" t="s">
        <v>4</v>
      </c>
      <c r="F368" s="103">
        <v>24359</v>
      </c>
      <c r="G368" s="248" t="s">
        <v>20</v>
      </c>
      <c r="H368" s="46">
        <v>14132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f>25446+880-1500</f>
        <v>24826</v>
      </c>
      <c r="E369" s="178" t="s">
        <v>94</v>
      </c>
      <c r="F369" s="47">
        <v>8000</v>
      </c>
      <c r="G369" s="248" t="s">
        <v>21</v>
      </c>
      <c r="H369" s="46">
        <v>3678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8940</v>
      </c>
      <c r="E370" s="178" t="s">
        <v>59</v>
      </c>
      <c r="F370" s="47">
        <v>5500</v>
      </c>
      <c r="G370" s="248" t="s">
        <v>99</v>
      </c>
      <c r="H370" s="46">
        <v>5043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1506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71638</v>
      </c>
      <c r="E372" s="173" t="s">
        <v>101</v>
      </c>
      <c r="F372" s="35">
        <f>F368+F369+F370</f>
        <v>37859</v>
      </c>
      <c r="G372" s="57" t="s">
        <v>4</v>
      </c>
      <c r="H372" s="35">
        <f>SUM(H368:H371)</f>
        <v>24359</v>
      </c>
      <c r="I372" s="150"/>
      <c r="J372" s="130"/>
    </row>
    <row r="373" spans="1:10" ht="13.35" customHeight="1" x14ac:dyDescent="0.25">
      <c r="B373" s="72"/>
      <c r="C373" s="211" t="s">
        <v>144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121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148</v>
      </c>
      <c r="F379" s="223" t="s">
        <v>128</v>
      </c>
      <c r="G379" s="223" t="s">
        <v>129</v>
      </c>
      <c r="H379" s="223" t="s">
        <v>130</v>
      </c>
      <c r="I379" s="223" t="s">
        <v>131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E380" si="17">D384+D383+D382+D381</f>
        <v>24359</v>
      </c>
      <c r="E380" s="251">
        <f t="shared" si="17"/>
        <v>24359</v>
      </c>
      <c r="F380" s="253">
        <f t="shared" ref="F380:I380" si="18">F384+F383+F382+F381</f>
        <v>30.683500000000002</v>
      </c>
      <c r="G380" s="253">
        <f t="shared" si="18"/>
        <v>91.373109999999997</v>
      </c>
      <c r="H380" s="253">
        <f>H384+H383+H382+H381</f>
        <v>24267.62689</v>
      </c>
      <c r="I380" s="253">
        <f t="shared" si="18"/>
        <v>156.89248000000001</v>
      </c>
      <c r="J380" s="130"/>
    </row>
    <row r="381" spans="1:10" ht="14.1" customHeight="1" x14ac:dyDescent="0.25">
      <c r="A381" s="218"/>
      <c r="B381" s="72"/>
      <c r="C381" s="255" t="s">
        <v>103</v>
      </c>
      <c r="D381" s="256">
        <v>14132</v>
      </c>
      <c r="E381" s="256">
        <v>14132</v>
      </c>
      <c r="F381" s="257">
        <f>0</f>
        <v>0</v>
      </c>
      <c r="G381" s="257">
        <f>0</f>
        <v>0</v>
      </c>
      <c r="H381" s="257">
        <f t="shared" ref="H381:H385" si="19">E381-G381</f>
        <v>14132</v>
      </c>
      <c r="I381" s="257">
        <f>0</f>
        <v>0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3678</v>
      </c>
      <c r="E382" s="256">
        <v>3678</v>
      </c>
      <c r="F382" s="257">
        <f>0</f>
        <v>0</v>
      </c>
      <c r="G382" s="257">
        <f>0</f>
        <v>0</v>
      </c>
      <c r="H382" s="257">
        <f t="shared" si="19"/>
        <v>3678</v>
      </c>
      <c r="I382" s="257">
        <f>0</f>
        <v>0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1506</v>
      </c>
      <c r="E383" s="256">
        <v>1506</v>
      </c>
      <c r="F383" s="257">
        <f>29.2495</f>
        <v>29.249500000000001</v>
      </c>
      <c r="G383" s="257">
        <f>88.29871</f>
        <v>88.29871</v>
      </c>
      <c r="H383" s="257">
        <f t="shared" si="19"/>
        <v>1417.70129</v>
      </c>
      <c r="I383" s="257">
        <f>144.93528</f>
        <v>144.93528000000001</v>
      </c>
      <c r="J383" s="130"/>
    </row>
    <row r="384" spans="1:10" ht="14.1" customHeight="1" x14ac:dyDescent="0.25">
      <c r="A384" s="218"/>
      <c r="B384" s="72"/>
      <c r="C384" s="262" t="s">
        <v>124</v>
      </c>
      <c r="D384" s="263">
        <v>5043</v>
      </c>
      <c r="E384" s="263">
        <v>5043</v>
      </c>
      <c r="F384" s="257">
        <f>1.434</f>
        <v>1.4339999999999999</v>
      </c>
      <c r="G384" s="257">
        <f>3.0744</f>
        <v>3.0743999999999998</v>
      </c>
      <c r="H384" s="257">
        <f t="shared" si="19"/>
        <v>5039.9255999999996</v>
      </c>
      <c r="I384" s="257">
        <f>11.9572</f>
        <v>11.9572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0</f>
        <v>0</v>
      </c>
      <c r="G385" s="268">
        <f>0</f>
        <v>0</v>
      </c>
      <c r="H385" s="268">
        <f t="shared" si="19"/>
        <v>5500</v>
      </c>
      <c r="I385" s="268">
        <f>0.543</f>
        <v>0.54300000000000004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59.945959999999999</v>
      </c>
      <c r="G386" s="269">
        <f>G388+G387</f>
        <v>106.77525</v>
      </c>
      <c r="H386" s="269">
        <f>E386-G386</f>
        <v>7893.2247500000003</v>
      </c>
      <c r="I386" s="269">
        <f>I388+I387</f>
        <v>133.74322000000001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0</f>
        <v>0</v>
      </c>
      <c r="H387" s="257"/>
      <c r="I387" s="257">
        <f>0</f>
        <v>0</v>
      </c>
      <c r="J387" s="130"/>
    </row>
    <row r="388" spans="1:10" ht="14.1" customHeight="1" x14ac:dyDescent="0.25">
      <c r="A388" s="218"/>
      <c r="B388" s="72"/>
      <c r="C388" s="273" t="s">
        <v>104</v>
      </c>
      <c r="D388" s="274"/>
      <c r="E388" s="277"/>
      <c r="F388" s="278">
        <f>59.94596</f>
        <v>59.945959999999999</v>
      </c>
      <c r="G388" s="278">
        <f>106.77525</f>
        <v>106.77525</v>
      </c>
      <c r="H388" s="278"/>
      <c r="I388" s="278">
        <f>133.74322</f>
        <v>133.74322000000001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</f>
        <v>0</v>
      </c>
      <c r="H389" s="268">
        <f>E389-G389</f>
        <v>13</v>
      </c>
      <c r="I389" s="268">
        <f>0</f>
        <v>0</v>
      </c>
      <c r="J389" s="130"/>
    </row>
    <row r="390" spans="1:10" ht="14.1" customHeight="1" x14ac:dyDescent="0.25">
      <c r="A390" s="218"/>
      <c r="B390" s="72"/>
      <c r="C390" s="279" t="s">
        <v>105</v>
      </c>
      <c r="D390" s="282"/>
      <c r="E390" s="283"/>
      <c r="F390" s="268">
        <f>0.0558</f>
        <v>5.5800000000000002E-2</v>
      </c>
      <c r="G390" s="268">
        <f>0.11856</f>
        <v>0.11856</v>
      </c>
      <c r="H390" s="268">
        <f>E390-G390</f>
        <v>-0.11856</v>
      </c>
      <c r="I390" s="268">
        <f>2.17376</f>
        <v>2.1737600000000001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37872</v>
      </c>
      <c r="E391" s="286">
        <v>36482</v>
      </c>
      <c r="F391" s="287">
        <f t="shared" ref="F391:I391" si="20">F380+F385+F386+F389+F390</f>
        <v>90.68526</v>
      </c>
      <c r="G391" s="287">
        <f t="shared" si="20"/>
        <v>198.26692</v>
      </c>
      <c r="H391" s="287">
        <f>H380+H385+H386+H389+H390</f>
        <v>37673.733079999998</v>
      </c>
      <c r="I391" s="287">
        <f t="shared" si="20"/>
        <v>293.35246000000006</v>
      </c>
      <c r="J391" s="130"/>
    </row>
    <row r="392" spans="1:10" ht="14.1" customHeight="1" x14ac:dyDescent="0.2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145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61" t="s">
        <v>147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113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1" t="s">
        <v>122</v>
      </c>
      <c r="D407" s="301"/>
      <c r="E407" s="301"/>
      <c r="F407" s="301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108</v>
      </c>
      <c r="D412" s="22" t="s">
        <v>109</v>
      </c>
      <c r="E412" s="20" t="s">
        <v>128</v>
      </c>
      <c r="F412" s="20" t="s">
        <v>129</v>
      </c>
      <c r="G412" s="25" t="s">
        <v>130</v>
      </c>
      <c r="H412" s="20" t="s">
        <v>131</v>
      </c>
      <c r="I412" s="224"/>
      <c r="J412" s="13"/>
    </row>
    <row r="413" spans="1:10" ht="14.1" customHeight="1" x14ac:dyDescent="0.2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1023.2118800000001</v>
      </c>
      <c r="G413" s="85">
        <f>D413-F413</f>
        <v>-129.21188000000006</v>
      </c>
      <c r="H413" s="26">
        <f>SUM(H414:H415)</f>
        <v>988.40122999999994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0</f>
        <v>0</v>
      </c>
      <c r="F414" s="205">
        <f>778.95308</f>
        <v>778.95308</v>
      </c>
      <c r="G414" s="206"/>
      <c r="H414" s="205">
        <f>753.71223</f>
        <v>753.71222999999998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0</f>
        <v>0</v>
      </c>
      <c r="F415" s="208">
        <f>244.2588</f>
        <v>244.25880000000001</v>
      </c>
      <c r="G415" s="209"/>
      <c r="H415" s="208">
        <f>234.689</f>
        <v>234.68899999999999</v>
      </c>
      <c r="I415" s="150"/>
      <c r="J415" s="130"/>
    </row>
    <row r="416" spans="1:10" ht="14.1" customHeight="1" x14ac:dyDescent="0.25">
      <c r="A416" s="218"/>
      <c r="B416" s="72"/>
      <c r="C416" s="265" t="s">
        <v>111</v>
      </c>
      <c r="D416" s="10">
        <v>894</v>
      </c>
      <c r="E416" s="26">
        <f>SUM(E417:E418)</f>
        <v>66.808799999999991</v>
      </c>
      <c r="F416" s="26">
        <f>SUM(F417:F418)</f>
        <v>567.42383999999993</v>
      </c>
      <c r="G416" s="85">
        <f>D416-F416</f>
        <v>326.57616000000007</v>
      </c>
      <c r="H416" s="26">
        <f>SUM(H417:H418)</f>
        <v>669.03639999999996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60.4295</f>
        <v>60.429499999999997</v>
      </c>
      <c r="F417" s="30">
        <f>437.2815</f>
        <v>437.28149999999999</v>
      </c>
      <c r="G417" s="97"/>
      <c r="H417" s="30">
        <f>518.212</f>
        <v>518.21199999999999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6.3793</f>
        <v>6.3792999999999997</v>
      </c>
      <c r="F418" s="30">
        <f>130.14234</f>
        <v>130.14233999999999</v>
      </c>
      <c r="G418" s="108"/>
      <c r="H418" s="30">
        <f>150.8244</f>
        <v>150.8244</v>
      </c>
      <c r="I418" s="150"/>
      <c r="J418" s="130"/>
    </row>
    <row r="419" spans="1:10" ht="14.1" customHeight="1" x14ac:dyDescent="0.2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66.808799999999991</v>
      </c>
      <c r="F423" s="40">
        <f>F413+F416+F419+F422</f>
        <v>1590.63572</v>
      </c>
      <c r="G423" s="41">
        <f>D423-F423</f>
        <v>1090.36428</v>
      </c>
      <c r="H423" s="40">
        <f>H413+H416+H419+H422</f>
        <v>1657.4376299999999</v>
      </c>
      <c r="I423" s="27"/>
      <c r="J423" s="130"/>
    </row>
    <row r="424" spans="1:10" ht="42" customHeight="1" x14ac:dyDescent="0.25">
      <c r="A424" s="218"/>
      <c r="B424" s="72"/>
      <c r="C424" s="292" t="s">
        <v>116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3&amp;R20.01.2025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2025-02-11T09:06:16Z</dcterms:modified>
</cp:coreProperties>
</file>