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A15B3C10-A871-4941-92FF-8F16AB0665F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423" i="1"/>
  <c r="H422" i="1"/>
  <c r="F422" i="1"/>
  <c r="G422" i="1" s="1"/>
  <c r="E422" i="1"/>
  <c r="H421" i="1"/>
  <c r="F421" i="1"/>
  <c r="F419" i="1" s="1"/>
  <c r="G419" i="1" s="1"/>
  <c r="E421" i="1"/>
  <c r="E419" i="1" s="1"/>
  <c r="H420" i="1"/>
  <c r="F420" i="1"/>
  <c r="E420" i="1"/>
  <c r="H419" i="1"/>
  <c r="H418" i="1"/>
  <c r="H416" i="1" s="1"/>
  <c r="F418" i="1"/>
  <c r="E418" i="1"/>
  <c r="H417" i="1"/>
  <c r="F417" i="1"/>
  <c r="E417" i="1"/>
  <c r="F416" i="1"/>
  <c r="G416" i="1" s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D391" i="1"/>
  <c r="I390" i="1"/>
  <c r="H390" i="1"/>
  <c r="G390" i="1"/>
  <c r="F390" i="1"/>
  <c r="I389" i="1"/>
  <c r="G389" i="1"/>
  <c r="H389" i="1" s="1"/>
  <c r="F389" i="1"/>
  <c r="I388" i="1"/>
  <c r="G388" i="1"/>
  <c r="G386" i="1" s="1"/>
  <c r="F388" i="1"/>
  <c r="I387" i="1"/>
  <c r="I386" i="1" s="1"/>
  <c r="G387" i="1"/>
  <c r="F387" i="1"/>
  <c r="F386" i="1" s="1"/>
  <c r="I385" i="1"/>
  <c r="H385" i="1"/>
  <c r="G385" i="1"/>
  <c r="F385" i="1"/>
  <c r="I384" i="1"/>
  <c r="H384" i="1"/>
  <c r="G384" i="1"/>
  <c r="F384" i="1"/>
  <c r="I383" i="1"/>
  <c r="H383" i="1"/>
  <c r="G383" i="1"/>
  <c r="F383" i="1"/>
  <c r="F380" i="1" s="1"/>
  <c r="F391" i="1" s="1"/>
  <c r="I382" i="1"/>
  <c r="H382" i="1"/>
  <c r="G382" i="1"/>
  <c r="F382" i="1"/>
  <c r="I381" i="1"/>
  <c r="H381" i="1"/>
  <c r="G381" i="1"/>
  <c r="F381" i="1"/>
  <c r="I380" i="1"/>
  <c r="H380" i="1"/>
  <c r="G380" i="1"/>
  <c r="D380" i="1"/>
  <c r="H372" i="1"/>
  <c r="F372" i="1"/>
  <c r="F354" i="1"/>
  <c r="G354" i="1" s="1"/>
  <c r="D354" i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H354" i="1" s="1"/>
  <c r="G350" i="1"/>
  <c r="F350" i="1"/>
  <c r="E350" i="1"/>
  <c r="E354" i="1" s="1"/>
  <c r="D343" i="1"/>
  <c r="D299" i="1"/>
  <c r="H298" i="1"/>
  <c r="G298" i="1"/>
  <c r="F298" i="1"/>
  <c r="E298" i="1"/>
  <c r="H297" i="1"/>
  <c r="F297" i="1"/>
  <c r="E297" i="1"/>
  <c r="E295" i="1" s="1"/>
  <c r="E299" i="1" s="1"/>
  <c r="H296" i="1"/>
  <c r="H295" i="1" s="1"/>
  <c r="H299" i="1" s="1"/>
  <c r="F296" i="1"/>
  <c r="F295" i="1" s="1"/>
  <c r="E296" i="1"/>
  <c r="D253" i="1"/>
  <c r="H252" i="1"/>
  <c r="F252" i="1"/>
  <c r="G252" i="1" s="1"/>
  <c r="E252" i="1"/>
  <c r="H251" i="1"/>
  <c r="H249" i="1" s="1"/>
  <c r="H253" i="1" s="1"/>
  <c r="F251" i="1"/>
  <c r="E251" i="1"/>
  <c r="E249" i="1" s="1"/>
  <c r="E253" i="1" s="1"/>
  <c r="H250" i="1"/>
  <c r="F250" i="1"/>
  <c r="E250" i="1"/>
  <c r="F249" i="1"/>
  <c r="G249" i="1" s="1"/>
  <c r="F207" i="1"/>
  <c r="D207" i="1"/>
  <c r="G207" i="1" s="1"/>
  <c r="H206" i="1"/>
  <c r="G206" i="1"/>
  <c r="F206" i="1"/>
  <c r="E206" i="1"/>
  <c r="H205" i="1"/>
  <c r="G205" i="1"/>
  <c r="F205" i="1"/>
  <c r="E205" i="1"/>
  <c r="H204" i="1"/>
  <c r="H207" i="1" s="1"/>
  <c r="G204" i="1"/>
  <c r="F204" i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 s="1"/>
  <c r="H177" i="1"/>
  <c r="F177" i="1"/>
  <c r="G177" i="1" s="1"/>
  <c r="E177" i="1"/>
  <c r="H176" i="1"/>
  <c r="F176" i="1"/>
  <c r="E176" i="1"/>
  <c r="H175" i="1"/>
  <c r="F175" i="1"/>
  <c r="F184" i="1" s="1"/>
  <c r="E175" i="1"/>
  <c r="D169" i="1"/>
  <c r="D167" i="1"/>
  <c r="I148" i="1"/>
  <c r="G148" i="1"/>
  <c r="H148" i="1" s="1"/>
  <c r="F148" i="1"/>
  <c r="I147" i="1"/>
  <c r="G147" i="1"/>
  <c r="H147" i="1" s="1"/>
  <c r="F147" i="1"/>
  <c r="H146" i="1"/>
  <c r="I145" i="1"/>
  <c r="H145" i="1"/>
  <c r="G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H140" i="1" s="1"/>
  <c r="H139" i="1" s="1"/>
  <c r="F140" i="1"/>
  <c r="F139" i="1" s="1"/>
  <c r="F133" i="1" s="1"/>
  <c r="I139" i="1"/>
  <c r="E139" i="1"/>
  <c r="D139" i="1"/>
  <c r="I138" i="1"/>
  <c r="I134" i="1" s="1"/>
  <c r="I133" i="1" s="1"/>
  <c r="H138" i="1"/>
  <c r="F138" i="1"/>
  <c r="I137" i="1"/>
  <c r="H137" i="1"/>
  <c r="H134" i="1" s="1"/>
  <c r="F137" i="1"/>
  <c r="I136" i="1"/>
  <c r="H136" i="1"/>
  <c r="F136" i="1"/>
  <c r="I135" i="1"/>
  <c r="H135" i="1"/>
  <c r="F135" i="1"/>
  <c r="G134" i="1"/>
  <c r="F134" i="1"/>
  <c r="E134" i="1"/>
  <c r="E133" i="1" s="1"/>
  <c r="D134" i="1"/>
  <c r="D133" i="1" s="1"/>
  <c r="I132" i="1"/>
  <c r="F132" i="1"/>
  <c r="I131" i="1"/>
  <c r="H131" i="1"/>
  <c r="G131" i="1"/>
  <c r="F131" i="1"/>
  <c r="I130" i="1"/>
  <c r="H130" i="1"/>
  <c r="G130" i="1"/>
  <c r="F130" i="1"/>
  <c r="I129" i="1"/>
  <c r="I128" i="1" s="1"/>
  <c r="I150" i="1" s="1"/>
  <c r="H129" i="1"/>
  <c r="H128" i="1" s="1"/>
  <c r="G129" i="1"/>
  <c r="G128" i="1" s="1"/>
  <c r="F129" i="1"/>
  <c r="F128" i="1" s="1"/>
  <c r="F150" i="1" s="1"/>
  <c r="E128" i="1"/>
  <c r="E150" i="1" s="1"/>
  <c r="D128" i="1"/>
  <c r="C126" i="1"/>
  <c r="D107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I96" i="1" s="1"/>
  <c r="I95" i="1" s="1"/>
  <c r="G98" i="1"/>
  <c r="H98" i="1" s="1"/>
  <c r="F98" i="1"/>
  <c r="I97" i="1"/>
  <c r="G97" i="1"/>
  <c r="H97" i="1" s="1"/>
  <c r="F97" i="1"/>
  <c r="F96" i="1" s="1"/>
  <c r="F95" i="1" s="1"/>
  <c r="G96" i="1"/>
  <c r="E96" i="1"/>
  <c r="E95" i="1" s="1"/>
  <c r="D96" i="1"/>
  <c r="G95" i="1"/>
  <c r="D95" i="1"/>
  <c r="I94" i="1"/>
  <c r="G94" i="1"/>
  <c r="H94" i="1" s="1"/>
  <c r="F94" i="1"/>
  <c r="I93" i="1"/>
  <c r="I92" i="1" s="1"/>
  <c r="G93" i="1"/>
  <c r="G92" i="1" s="1"/>
  <c r="G107" i="1" s="1"/>
  <c r="F93" i="1"/>
  <c r="F92" i="1"/>
  <c r="F107" i="1" s="1"/>
  <c r="E92" i="1"/>
  <c r="E107" i="1" s="1"/>
  <c r="D92" i="1"/>
  <c r="C89" i="1"/>
  <c r="H85" i="1"/>
  <c r="F85" i="1"/>
  <c r="D85" i="1"/>
  <c r="G61" i="1"/>
  <c r="G60" i="1"/>
  <c r="H55" i="1"/>
  <c r="I32" i="1" s="1"/>
  <c r="I27" i="1" s="1"/>
  <c r="F55" i="1"/>
  <c r="G55" i="1" s="1"/>
  <c r="E55" i="1"/>
  <c r="F32" i="1" s="1"/>
  <c r="E44" i="1"/>
  <c r="I43" i="1"/>
  <c r="G43" i="1"/>
  <c r="H43" i="1" s="1"/>
  <c r="F43" i="1"/>
  <c r="H4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I35" i="1"/>
  <c r="H35" i="1"/>
  <c r="G35" i="1"/>
  <c r="G34" i="1" s="1"/>
  <c r="H34" i="1" s="1"/>
  <c r="F35" i="1"/>
  <c r="E35" i="1"/>
  <c r="F34" i="1"/>
  <c r="D34" i="1"/>
  <c r="D26" i="1" s="1"/>
  <c r="I33" i="1"/>
  <c r="H33" i="1"/>
  <c r="G33" i="1"/>
  <c r="F33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E27" i="1"/>
  <c r="D27" i="1"/>
  <c r="E26" i="1"/>
  <c r="I25" i="1"/>
  <c r="G25" i="1"/>
  <c r="H25" i="1" s="1"/>
  <c r="H23" i="1" s="1"/>
  <c r="F25" i="1"/>
  <c r="I24" i="1"/>
  <c r="I23" i="1" s="1"/>
  <c r="H24" i="1"/>
  <c r="G24" i="1"/>
  <c r="F24" i="1"/>
  <c r="F23" i="1"/>
  <c r="E23" i="1"/>
  <c r="D23" i="1"/>
  <c r="H16" i="1"/>
  <c r="F16" i="1"/>
  <c r="D16" i="1"/>
  <c r="I34" i="1" l="1"/>
  <c r="I26" i="1" s="1"/>
  <c r="I44" i="1" s="1"/>
  <c r="G32" i="1"/>
  <c r="H32" i="1" s="1"/>
  <c r="H27" i="1" s="1"/>
  <c r="H26" i="1" s="1"/>
  <c r="H44" i="1" s="1"/>
  <c r="F27" i="1"/>
  <c r="F26" i="1" s="1"/>
  <c r="F44" i="1" s="1"/>
  <c r="H92" i="1"/>
  <c r="H107" i="1" s="1"/>
  <c r="H184" i="1"/>
  <c r="F423" i="1"/>
  <c r="G413" i="1"/>
  <c r="D44" i="1"/>
  <c r="F299" i="1"/>
  <c r="G299" i="1" s="1"/>
  <c r="G295" i="1"/>
  <c r="I391" i="1"/>
  <c r="H133" i="1"/>
  <c r="G391" i="1"/>
  <c r="H386" i="1"/>
  <c r="H391" i="1" s="1"/>
  <c r="I107" i="1"/>
  <c r="H150" i="1"/>
  <c r="D150" i="1"/>
  <c r="E184" i="1"/>
  <c r="G184" i="1"/>
  <c r="H96" i="1"/>
  <c r="H95" i="1" s="1"/>
  <c r="G423" i="1"/>
  <c r="G139" i="1"/>
  <c r="G133" i="1" s="1"/>
  <c r="G150" i="1" s="1"/>
  <c r="H93" i="1"/>
  <c r="F253" i="1"/>
  <c r="G253" i="1" s="1"/>
  <c r="G23" i="1"/>
  <c r="G175" i="1"/>
  <c r="G27" i="1" l="1"/>
  <c r="G26" i="1" s="1"/>
  <c r="G44" i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<sst xmlns="http://schemas.openxmlformats.org/spreadsheetml/2006/main" count="359" uniqueCount="151">
  <si>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</si>
  <si>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</si>
  <si>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</si>
  <si>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</si>
  <si>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</si>
  <si>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</si>
  <si>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</si>
  <si>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</si>
  <si>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</si>
  <si>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</si>
  <si>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</si>
  <si>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</si>
  <si>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</si>
  <si>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</si>
  <si>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</si>
  <si>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</si>
  <si>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</si>
  <si>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</si>
  <si>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</si>
  <si>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</si>
  <si>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</si>
  <si>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</si>
  <si>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</si>
  <si>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</si>
  <si>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</si>
  <si>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</si>
  <si>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</si>
  <si>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</si>
  <si>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</si>
  <si>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</si>
  <si>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</si>
  <si>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</si>
  <si>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</si>
  <si>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</si>
  <si>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</si>
  <si>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</si>
  <si>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</si>
  <si>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</si>
  <si>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</si>
  <si>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</si>
  <si>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</si>
  <si>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</si>
  <si>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</si>
  <si>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</si>
  <si>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</si>
  <si>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</si>
  <si>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</si>
  <si>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</si>
  <si>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</si>
  <si>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</si>
  <si>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</si>
  <si>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</si>
  <si>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</si>
  <si>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</si>
  <si>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</si>
  <si>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</si>
  <si>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</si>
  <si>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</si>
  <si>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</si>
  <si>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</si>
  <si>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</si>
  <si>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</si>
  <si>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</si>
  <si>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</si>
  <si>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</si>
  <si>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</si>
  <si>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</si>
  <si>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</si>
  <si>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</si>
  <si>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</si>
  <si>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</si>
  <si>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</si>
  <si>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</si>
  <si>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</si>
  <si>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</si>
  <si>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</si>
  <si>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</si>
  <si>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</si>
  <si>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</si>
  <si>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</si>
  <si>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</si>
  <si>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</si>
  <si>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</si>
  <si>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</si>
  <si>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</si>
  <si>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</si>
  <si>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</si>
  <si>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</si>
  <si>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</si>
  <si>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</si>
  <si>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</si>
  <si>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</si>
  <si>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</si>
  <si>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</si>
  <si>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</si>
  <si>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</si>
  <si>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</si>
  <si>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</si>
  <si>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</si>
  <si>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</si>
  <si>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</si>
  <si>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</si>
  <si>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</si>
  <si>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</si>
  <si>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</si>
  <si>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</si>
  <si>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</si>
  <si>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</si>
  <si>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</si>
  <si>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</si>
  <si>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</si>
  <si>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</si>
  <si>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</si>
  <si>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</si>
  <si>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</si>
  <si>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</si>
  <si>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</si>
  <si>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</si>
  <si>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</si>
  <si>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</si>
  <si>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</si>
  <si>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</si>
  <si>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</si>
  <si>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</si>
  <si>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</si>
  <si>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</si>
  <si>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</si>
  <si>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</si>
  <si>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</si>
  <si>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</si>
  <si>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</si>
  <si>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</si>
  <si>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</si>
  <si>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</si>
  <si>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</si>
  <si>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</si>
  <si>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</si>
  <si>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</si>
  <si>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</si>
  <si>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</si>
  <si>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</si>
  <si>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</si>
  <si>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</si>
  <si>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2 Registrert rekreasjonsfiske utgjør 59 tonn, men det legges til grunn at hele avsetningen tas</t>
  </si>
  <si>
    <t>4 Registrert rekreasjonsfiske utgjør 475 tonn, men det legges til grunn at hele avsetningen tas</t>
  </si>
  <si>
    <t>3 Registrert rekreasjonsfiske utgjør 858 tonn, men det legges til grunn at hele avsetningen tas</t>
  </si>
  <si>
    <t>FANGST UKE 35</t>
  </si>
  <si>
    <t>FANGST T.O.M UKE 35</t>
  </si>
  <si>
    <t>RESTKVOTER UKE 35</t>
  </si>
  <si>
    <t>FANGST T.O.M UKE 35 2023</t>
  </si>
  <si>
    <r>
      <t>3</t>
    </r>
    <r>
      <rPr>
        <sz val="9"/>
        <color indexed="8"/>
        <rFont val="Calibri"/>
        <family val="2"/>
      </rPr>
      <t xml:space="preserve"> Det er fisket 3 987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</si>
</sst>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408" zoomScale="85" zoomScaleNormal="85" zoomScaleSheetLayoutView="100" zoomScalePageLayoutView="85" workbookViewId="0">
      <selection activeCell="G412" sqref="G412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3" t="s">
        <v>120</v>
      </c>
      <c r="C2" s="304"/>
      <c r="D2" s="304"/>
      <c r="E2" s="304"/>
      <c r="F2" s="304"/>
      <c r="G2" s="304"/>
      <c r="H2" s="304"/>
      <c r="I2" s="304"/>
      <c r="J2" s="305"/>
    </row>
    <row r="3" spans="1:10" ht="14.9" customHeight="1" x14ac:dyDescent="0.35">
      <c r="A3" s="1"/>
      <c r="B3" s="1"/>
      <c r="C3" s="1" t="s">
        <v>115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115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115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115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115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302" t="s">
        <v>139</v>
      </c>
      <c r="D17" s="302"/>
      <c r="E17" s="302"/>
      <c r="F17" s="302"/>
      <c r="G17" s="302"/>
      <c r="H17" s="30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149.67150000000001</v>
      </c>
      <c r="G23" s="28">
        <f t="shared" si="0"/>
        <v>38579.626250000001</v>
      </c>
      <c r="H23" s="11">
        <f t="shared" si="0"/>
        <v>22232.373750000002</v>
      </c>
      <c r="I23" s="11">
        <f t="shared" si="0"/>
        <v>54973.454129999998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149.6715</f>
        <v>149.67150000000001</v>
      </c>
      <c r="G24" s="23">
        <f>38053.27196</f>
        <v>38053.271959999998</v>
      </c>
      <c r="H24" s="23">
        <f>E24-G24</f>
        <v>21988.728040000002</v>
      </c>
      <c r="I24" s="23">
        <f>54632.96228</f>
        <v>54632.96228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526.35429</f>
        <v>526.35428999999999</v>
      </c>
      <c r="H25" s="23">
        <f>E25-G25</f>
        <v>243.64571000000001</v>
      </c>
      <c r="I25" s="23">
        <f>340.49185</f>
        <v>340.49185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520.99914000000001</v>
      </c>
      <c r="G26" s="11">
        <f t="shared" si="1"/>
        <v>123741.32488999999</v>
      </c>
      <c r="H26" s="11">
        <f t="shared" si="1"/>
        <v>21132.675110000004</v>
      </c>
      <c r="I26" s="11">
        <f t="shared" si="1"/>
        <v>174010.34575000001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470.69811000000004</v>
      </c>
      <c r="G27" s="132">
        <f t="shared" ref="G27:I27" si="2">G28+G29+G30+G31+G32</f>
        <v>100732.07104</v>
      </c>
      <c r="H27" s="132">
        <f t="shared" si="2"/>
        <v>12245.928960000001</v>
      </c>
      <c r="I27" s="132">
        <f t="shared" si="2"/>
        <v>137965.84807000001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44.45391</f>
        <v>44.45391</v>
      </c>
      <c r="G28" s="127">
        <f>26306.99385 - F56</f>
        <v>25770.993849999999</v>
      </c>
      <c r="H28" s="127">
        <f t="shared" ref="H28:H40" si="3">E28-G28</f>
        <v>2859.0061500000011</v>
      </c>
      <c r="I28" s="127">
        <f>37006.74301 - H56</f>
        <v>36419.743009999998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83.53403</f>
        <v>83.534030000000001</v>
      </c>
      <c r="G29" s="127">
        <f>28223.20263 - F57</f>
        <v>27398.20263</v>
      </c>
      <c r="H29" s="127">
        <f t="shared" si="3"/>
        <v>2266.7973700000002</v>
      </c>
      <c r="I29" s="127">
        <f>38887.08463 - H57</f>
        <v>37703.084629999998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86.00329</f>
        <v>86.003290000000007</v>
      </c>
      <c r="G30" s="127">
        <f>26639.82005 - F58</f>
        <v>25535.820049999998</v>
      </c>
      <c r="H30" s="127">
        <f t="shared" si="3"/>
        <v>1708.1799500000016</v>
      </c>
      <c r="I30" s="127">
        <f>37069.77189 - H58</f>
        <v>34975.771890000004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61.70688</f>
        <v>61.706879999999998</v>
      </c>
      <c r="G31" s="127">
        <f>19562.05451 - F59</f>
        <v>18709.054510000002</v>
      </c>
      <c r="H31" s="127">
        <f t="shared" si="3"/>
        <v>629.94548999999824</v>
      </c>
      <c r="I31" s="127">
        <f>25002.24854 - H59</f>
        <v>24027.248540000001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195</v>
      </c>
      <c r="G32" s="127">
        <f>F55</f>
        <v>3318</v>
      </c>
      <c r="H32" s="127">
        <f t="shared" si="3"/>
        <v>4782</v>
      </c>
      <c r="I32" s="127">
        <f>H55</f>
        <v>4840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0.35789</f>
        <v>0.35788999999999999</v>
      </c>
      <c r="G33" s="132">
        <f>11000.11156</f>
        <v>11000.111559999999</v>
      </c>
      <c r="H33" s="132">
        <f t="shared" si="3"/>
        <v>5858.8884400000006</v>
      </c>
      <c r="I33" s="132">
        <f>15809.08619</f>
        <v>15809.08619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49.94314</v>
      </c>
      <c r="G34" s="132">
        <f>G35+G36</f>
        <v>12009.14229</v>
      </c>
      <c r="H34" s="132">
        <f t="shared" si="3"/>
        <v>3027.8577100000002</v>
      </c>
      <c r="I34" s="132">
        <f>I35+I36</f>
        <v>20235.411489999999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30.94314</f>
        <v>30.94314</v>
      </c>
      <c r="G35" s="132">
        <f>14798.14229 - F60 - F61</f>
        <v>11648.14229</v>
      </c>
      <c r="H35" s="127">
        <f t="shared" si="3"/>
        <v>2428.8577100000002</v>
      </c>
      <c r="I35" s="127">
        <f>24591.41149 - H60 - H61</f>
        <v>19789.411489999999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19</v>
      </c>
      <c r="G36" s="71">
        <f>F60</f>
        <v>361</v>
      </c>
      <c r="H36" s="71">
        <f t="shared" si="3"/>
        <v>599</v>
      </c>
      <c r="I36" s="71">
        <f>H60</f>
        <v>446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1.2995</f>
        <v>1.2995000000000001</v>
      </c>
      <c r="G38" s="98">
        <f>472.57823</f>
        <v>472.57823000000002</v>
      </c>
      <c r="H38" s="98">
        <f t="shared" si="3"/>
        <v>382.42176999999998</v>
      </c>
      <c r="I38" s="98">
        <f>488.23724</f>
        <v>488.23723999999999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E61</f>
        <v>0</v>
      </c>
      <c r="G39" s="98">
        <f>F61</f>
        <v>2789</v>
      </c>
      <c r="H39" s="98">
        <f t="shared" si="3"/>
        <v>211</v>
      </c>
      <c r="I39" s="98">
        <f>H61</f>
        <v>4356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9.48958</f>
        <v>9.4895800000000001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0.06</f>
        <v>0.06</v>
      </c>
      <c r="G41" s="98">
        <f>335.12956</f>
        <v>335.12956000000003</v>
      </c>
      <c r="H41" s="98">
        <f>E41-G41</f>
        <v>64.870439999999974</v>
      </c>
      <c r="I41" s="98">
        <f>353.18165</f>
        <v>353.18164999999999</v>
      </c>
      <c r="J41" s="244"/>
    </row>
    <row r="42" spans="1:13" ht="17.25" customHeight="1" x14ac:dyDescent="0.35">
      <c r="A42" s="1"/>
      <c r="B42" s="254"/>
      <c r="C42" s="73" t="s">
        <v>127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0</f>
        <v>0</v>
      </c>
      <c r="G43" s="139">
        <f>101.67728</f>
        <v>101.67728</v>
      </c>
      <c r="H43" s="139">
        <f t="shared" ref="H43" si="4">E43-G43</f>
        <v>-101.67728</v>
      </c>
      <c r="I43" s="139">
        <f>87.47167</f>
        <v>87.471670000000003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681.51972000000001</v>
      </c>
      <c r="G44" s="76">
        <f t="shared" si="5"/>
        <v>173367.70141000001</v>
      </c>
      <c r="H44" s="76">
        <f t="shared" si="5"/>
        <v>45673.298590000006</v>
      </c>
      <c r="I44" s="76">
        <f t="shared" si="5"/>
        <v>242015.48204</v>
      </c>
      <c r="J44" s="244"/>
    </row>
    <row r="45" spans="1:13" ht="14.15" customHeight="1" x14ac:dyDescent="0.35">
      <c r="A45" s="101"/>
      <c r="B45" s="24"/>
      <c r="C45" s="77" t="s">
        <v>128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129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146</v>
      </c>
      <c r="F54" s="68" t="s">
        <v>147</v>
      </c>
      <c r="G54" s="68" t="s">
        <v>148</v>
      </c>
      <c r="H54" s="68" t="s">
        <v>149</v>
      </c>
      <c r="I54" s="258"/>
      <c r="J54" s="244"/>
    </row>
    <row r="55" spans="1:10" ht="14.15" customHeight="1" x14ac:dyDescent="0.35">
      <c r="A55" s="101"/>
      <c r="B55" s="24"/>
      <c r="C55" s="16" t="s">
        <v>45</v>
      </c>
      <c r="D55" s="295">
        <v>7872</v>
      </c>
      <c r="E55" s="11">
        <f>E59+E58+E57+E56</f>
        <v>195</v>
      </c>
      <c r="F55" s="11">
        <f>F59+F58+F57+F56</f>
        <v>3318</v>
      </c>
      <c r="G55" s="295">
        <f>D55-F55</f>
        <v>4554</v>
      </c>
      <c r="H55" s="11">
        <f>H59+H58+H57+H56</f>
        <v>4840</v>
      </c>
      <c r="I55" s="258"/>
      <c r="J55" s="244"/>
    </row>
    <row r="56" spans="1:10" ht="14.15" customHeight="1" x14ac:dyDescent="0.35">
      <c r="A56" s="101"/>
      <c r="B56" s="24"/>
      <c r="C56" s="62" t="s">
        <v>24</v>
      </c>
      <c r="D56" s="296"/>
      <c r="E56" s="127">
        <v>34</v>
      </c>
      <c r="F56" s="127">
        <v>536</v>
      </c>
      <c r="G56" s="296"/>
      <c r="H56" s="127">
        <v>587</v>
      </c>
      <c r="I56" s="258"/>
      <c r="J56" s="244"/>
    </row>
    <row r="57" spans="1:10" ht="14.15" customHeight="1" x14ac:dyDescent="0.35">
      <c r="A57" s="101"/>
      <c r="B57" s="24"/>
      <c r="C57" s="62" t="s">
        <v>25</v>
      </c>
      <c r="D57" s="296"/>
      <c r="E57" s="127">
        <v>47</v>
      </c>
      <c r="F57" s="127">
        <v>825</v>
      </c>
      <c r="G57" s="296"/>
      <c r="H57" s="127">
        <v>1184</v>
      </c>
      <c r="I57" s="258"/>
      <c r="J57" s="244"/>
    </row>
    <row r="58" spans="1:10" ht="14.15" customHeight="1" x14ac:dyDescent="0.35">
      <c r="A58" s="101"/>
      <c r="B58" s="24"/>
      <c r="C58" s="62" t="s">
        <v>26</v>
      </c>
      <c r="D58" s="296"/>
      <c r="E58" s="127">
        <v>51</v>
      </c>
      <c r="F58" s="127">
        <v>1104</v>
      </c>
      <c r="G58" s="296"/>
      <c r="H58" s="127">
        <v>2094</v>
      </c>
      <c r="I58" s="258"/>
      <c r="J58" s="244"/>
    </row>
    <row r="59" spans="1:10" ht="14.15" customHeight="1" x14ac:dyDescent="0.35">
      <c r="A59" s="101"/>
      <c r="B59" s="24"/>
      <c r="C59" s="87" t="s">
        <v>27</v>
      </c>
      <c r="D59" s="297"/>
      <c r="E59" s="192">
        <v>63</v>
      </c>
      <c r="F59" s="192">
        <v>853</v>
      </c>
      <c r="G59" s="297"/>
      <c r="H59" s="192">
        <v>975</v>
      </c>
      <c r="I59" s="258"/>
      <c r="J59" s="244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>
        <v>19</v>
      </c>
      <c r="F60" s="95">
        <v>361</v>
      </c>
      <c r="G60" s="95">
        <f>D60-F60</f>
        <v>599</v>
      </c>
      <c r="H60" s="95">
        <v>446</v>
      </c>
      <c r="I60" s="258"/>
      <c r="J60" s="244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0</v>
      </c>
      <c r="F61" s="139">
        <v>2789</v>
      </c>
      <c r="G61" s="139">
        <f>D61-F61</f>
        <v>211</v>
      </c>
      <c r="H61" s="139">
        <v>4356</v>
      </c>
      <c r="I61" s="258"/>
      <c r="J61" s="244"/>
    </row>
    <row r="62" spans="1:10" ht="14.15" customHeight="1" x14ac:dyDescent="0.35">
      <c r="A62" s="101"/>
      <c r="B62" s="24"/>
      <c r="C62" s="77" t="s">
        <v>130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115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140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6.6863999999999999</v>
      </c>
      <c r="G92" s="11">
        <f t="shared" si="6"/>
        <v>23373.725010000002</v>
      </c>
      <c r="H92" s="11">
        <f t="shared" si="6"/>
        <v>2587.2749899999999</v>
      </c>
      <c r="I92" s="11">
        <f t="shared" si="6"/>
        <v>39298.372040000002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6.6864</f>
        <v>6.6863999999999999</v>
      </c>
      <c r="G93" s="23">
        <f>22584.17856</f>
        <v>22584.17856</v>
      </c>
      <c r="H93" s="23">
        <f>E93-G93</f>
        <v>2551.8214399999997</v>
      </c>
      <c r="I93" s="23">
        <f>38795.21925</f>
        <v>38795.219250000002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789.54645</f>
        <v>789.54645000000005</v>
      </c>
      <c r="H94" s="50">
        <f>E94-G94</f>
        <v>35.45354999999995</v>
      </c>
      <c r="I94" s="50">
        <f>503.15279</f>
        <v>503.15278999999998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330.83789000000002</v>
      </c>
      <c r="G95" s="11">
        <f t="shared" si="7"/>
        <v>38498.334219999997</v>
      </c>
      <c r="H95" s="11">
        <f t="shared" si="7"/>
        <v>10495.665779999998</v>
      </c>
      <c r="I95" s="11">
        <f t="shared" si="7"/>
        <v>27729.172439999998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303.59933000000001</v>
      </c>
      <c r="G96" s="132">
        <f t="shared" si="8"/>
        <v>31058.630710000001</v>
      </c>
      <c r="H96" s="132">
        <f t="shared" si="8"/>
        <v>6435.3692899999987</v>
      </c>
      <c r="I96" s="132">
        <f t="shared" si="8"/>
        <v>20147.60267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68.12763</f>
        <v>68.127629999999996</v>
      </c>
      <c r="G97" s="127">
        <f>4677.24019</f>
        <v>4677.2401900000004</v>
      </c>
      <c r="H97" s="127">
        <f t="shared" ref="H97:H104" si="9">E97-G97</f>
        <v>5337.7598099999996</v>
      </c>
      <c r="I97" s="127">
        <f>2946.85803</f>
        <v>2946.8580299999999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60.81335</f>
        <v>60.81335</v>
      </c>
      <c r="G98" s="127">
        <f>10219.26199</f>
        <v>10219.261990000001</v>
      </c>
      <c r="H98" s="127">
        <f t="shared" si="9"/>
        <v>394.73800999999912</v>
      </c>
      <c r="I98" s="127">
        <f>5972.23903</f>
        <v>5972.2390299999997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91.75869</f>
        <v>91.758690000000001</v>
      </c>
      <c r="G99" s="127">
        <f>9628.36342</f>
        <v>9628.3634199999997</v>
      </c>
      <c r="H99" s="127">
        <f t="shared" si="9"/>
        <v>483.63658000000032</v>
      </c>
      <c r="I99" s="127">
        <f>6249.6266</f>
        <v>6249.6265999999996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82.89966</f>
        <v>82.899659999999997</v>
      </c>
      <c r="G100" s="127">
        <f>6533.76511</f>
        <v>6533.7651100000003</v>
      </c>
      <c r="H100" s="127">
        <f t="shared" si="9"/>
        <v>219.23488999999972</v>
      </c>
      <c r="I100" s="127">
        <f>4978.87901</f>
        <v>4978.8790099999997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0.38988</f>
        <v>0.38988</v>
      </c>
      <c r="G101" s="132">
        <f>5366.83004</f>
        <v>5366.8300399999998</v>
      </c>
      <c r="H101" s="132">
        <f t="shared" si="9"/>
        <v>2229.1699600000002</v>
      </c>
      <c r="I101" s="132">
        <f>6115.22943</f>
        <v>6115.2294300000003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26.84868</f>
        <v>26.848680000000002</v>
      </c>
      <c r="G102" s="75">
        <f>2072.87347</f>
        <v>2072.87347</v>
      </c>
      <c r="H102" s="75">
        <f t="shared" si="9"/>
        <v>1831.12653</v>
      </c>
      <c r="I102" s="75">
        <f>1466.34034</f>
        <v>1466.34034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36.10176</f>
        <v>36.101759999999999</v>
      </c>
      <c r="H103" s="98">
        <f t="shared" si="9"/>
        <v>282.89823999999999</v>
      </c>
      <c r="I103" s="98">
        <f>11.24867</f>
        <v>11.248670000000001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0.0993</f>
        <v>9.9299999999999999E-2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0.5</f>
        <v>0.5</v>
      </c>
      <c r="G105" s="98">
        <f>22.42166</f>
        <v>22.421659999999999</v>
      </c>
      <c r="H105" s="139">
        <f>E105-G105</f>
        <v>27.578340000000001</v>
      </c>
      <c r="I105" s="98">
        <f>7.3176</f>
        <v>7.3175999999999997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0.00912</f>
        <v>9.1199999999999996E-3</v>
      </c>
      <c r="G106" s="139">
        <f>27.37508</f>
        <v>27.375080000000001</v>
      </c>
      <c r="H106" s="139">
        <f t="shared" ref="H106" si="10">E106-G106</f>
        <v>-27.375080000000001</v>
      </c>
      <c r="I106" s="139">
        <f>88.57576</f>
        <v>88.575760000000002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338.13271000000003</v>
      </c>
      <c r="G107" s="76">
        <f t="shared" si="12"/>
        <v>62257.957729999995</v>
      </c>
      <c r="H107" s="76">
        <f t="shared" si="12"/>
        <v>13366.042269999998</v>
      </c>
      <c r="I107" s="76">
        <f t="shared" si="12"/>
        <v>67434.68651</v>
      </c>
      <c r="J107" s="244"/>
    </row>
    <row r="108" spans="1:10" ht="13.5" customHeight="1" x14ac:dyDescent="0.35">
      <c r="A108" s="1"/>
      <c r="B108" s="254"/>
      <c r="C108" s="77" t="s">
        <v>131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132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115</v>
      </c>
      <c r="D113" s="228"/>
      <c r="E113" s="228"/>
      <c r="F113" s="228"/>
      <c r="G113" s="228"/>
      <c r="H113" s="228"/>
      <c r="I113" s="101"/>
      <c r="J113" s="101" t="s">
        <v>115</v>
      </c>
    </row>
    <row r="114" spans="1:10" ht="14.25" customHeight="1" x14ac:dyDescent="0.35">
      <c r="A114" s="1"/>
      <c r="B114" s="101"/>
      <c r="C114" s="101" t="s">
        <v>115</v>
      </c>
      <c r="D114" s="101" t="s">
        <v>115</v>
      </c>
      <c r="E114" s="101"/>
      <c r="F114" s="101"/>
      <c r="G114" s="101"/>
      <c r="H114" s="101"/>
      <c r="I114" s="101"/>
      <c r="J114" s="101" t="s">
        <v>115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116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134.46159999999998</v>
      </c>
      <c r="G128" s="11">
        <f t="shared" si="13"/>
        <v>42982.49467</v>
      </c>
      <c r="H128" s="11">
        <f t="shared" si="13"/>
        <v>29324.50533</v>
      </c>
      <c r="I128" s="11">
        <f t="shared" si="13"/>
        <v>44138.356699999997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57562</v>
      </c>
      <c r="F129" s="23">
        <f>134.1846</f>
        <v>134.18459999999999</v>
      </c>
      <c r="G129" s="23">
        <f>38148.59566</f>
        <v>38148.595659999999</v>
      </c>
      <c r="H129" s="23">
        <f>E129-G129</f>
        <v>19413.404340000001</v>
      </c>
      <c r="I129" s="23">
        <f>39042.4511</f>
        <v>39042.451099999998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4768.17186</f>
        <v>4768.1718600000004</v>
      </c>
      <c r="H130" s="23">
        <f>E130-G130</f>
        <v>9476.8281399999996</v>
      </c>
      <c r="I130" s="23">
        <f>4978.66255</f>
        <v>4978.66255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0.277</f>
        <v>0.27700000000000002</v>
      </c>
      <c r="G131" s="23">
        <f>65.72715</f>
        <v>65.727149999999995</v>
      </c>
      <c r="H131" s="55">
        <f>E131-G131</f>
        <v>434.27285000000001</v>
      </c>
      <c r="I131" s="23">
        <f>117.24305</f>
        <v>117.24305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52496</v>
      </c>
      <c r="F132" s="95">
        <f>342.594</f>
        <v>342.59399999999999</v>
      </c>
      <c r="G132" s="95">
        <f>14780.599+3986.9109</f>
        <v>18767.509900000001</v>
      </c>
      <c r="H132" s="95">
        <f>E132-G132</f>
        <v>33728.490099999995</v>
      </c>
      <c r="I132" s="95">
        <f>37225.69703</f>
        <v>37225.697030000003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694.92223000000013</v>
      </c>
      <c r="G133" s="94">
        <f t="shared" ref="G133" si="14">G134+G139+G142</f>
        <v>55571.278630000001</v>
      </c>
      <c r="H133" s="94">
        <f>H134+H139+H142</f>
        <v>24593.721370000003</v>
      </c>
      <c r="I133" s="94">
        <f>I134+I139+I142</f>
        <v>61603.283070000005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563.9221500000001</v>
      </c>
      <c r="G134" s="125">
        <f>G135+G136+G138+G137</f>
        <v>41605.273939999999</v>
      </c>
      <c r="H134" s="125">
        <f>H135+H136+H137+H138</f>
        <v>17473.726060000001</v>
      </c>
      <c r="I134" s="125">
        <f>I135+I136+I137+I138</f>
        <v>48876.602400000003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17774</v>
      </c>
      <c r="F135" s="127">
        <f>260.84046</f>
        <v>260.84046000000001</v>
      </c>
      <c r="G135" s="127">
        <v>7705.52808</v>
      </c>
      <c r="H135" s="127">
        <f>E135-G135</f>
        <v>10068.47192</v>
      </c>
      <c r="I135" s="127">
        <f>7476.51004</f>
        <v>7476.5100400000001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14939</v>
      </c>
      <c r="F136" s="127">
        <f>120.98031</f>
        <v>120.98031</v>
      </c>
      <c r="G136" s="127">
        <v>11190.69995</v>
      </c>
      <c r="H136" s="127">
        <f>E136-G136</f>
        <v>3748.3000499999998</v>
      </c>
      <c r="I136" s="127">
        <f>12601.35223</f>
        <v>12601.35223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13051</v>
      </c>
      <c r="F137" s="127">
        <f>22.82778</f>
        <v>22.827780000000001</v>
      </c>
      <c r="G137" s="127">
        <v>11544.45226</v>
      </c>
      <c r="H137" s="127">
        <f>E137-G137</f>
        <v>1506.54774</v>
      </c>
      <c r="I137" s="127">
        <f>15861.35075</f>
        <v>15861.35075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13315</v>
      </c>
      <c r="F138" s="127">
        <f>159.2736</f>
        <v>159.27359999999999</v>
      </c>
      <c r="G138" s="127">
        <v>11164.593650000001</v>
      </c>
      <c r="H138" s="127">
        <f>E138-G138</f>
        <v>2150.4063499999993</v>
      </c>
      <c r="I138" s="127">
        <f>12937.38938</f>
        <v>12937.389380000001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2.40387</v>
      </c>
      <c r="G139" s="132">
        <f>SUM(G140:G141)</f>
        <v>8888.96407</v>
      </c>
      <c r="H139" s="132">
        <f>H140+H141</f>
        <v>41.035930000000349</v>
      </c>
      <c r="I139" s="132">
        <f>SUM(I140:I141)</f>
        <v>6930.4534600000006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8461.14568</f>
        <v>8461.1456799999996</v>
      </c>
      <c r="H140" s="127">
        <f t="shared" ref="H140:H148" si="15">E140-G140</f>
        <v>-31.145679999999629</v>
      </c>
      <c r="I140" s="127">
        <f>6697.9142</f>
        <v>6697.9142000000002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2.40387</f>
        <v>2.40387</v>
      </c>
      <c r="G141" s="127">
        <f>427.81839</f>
        <v>427.81839000000002</v>
      </c>
      <c r="H141" s="127">
        <f t="shared" si="15"/>
        <v>72.181609999999978</v>
      </c>
      <c r="I141" s="127">
        <f>232.53926</f>
        <v>232.53926000000001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12156</v>
      </c>
      <c r="F142" s="75">
        <f>128.59621</f>
        <v>128.59621000000001</v>
      </c>
      <c r="G142" s="75">
        <f>5077.04062</f>
        <v>5077.0406199999998</v>
      </c>
      <c r="H142" s="75">
        <f t="shared" si="15"/>
        <v>7078.9593800000002</v>
      </c>
      <c r="I142" s="75">
        <f>5796.22721</f>
        <v>5796.22721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30.361</f>
        <v>30.361000000000001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6.44328</f>
        <v>6.4432799999999997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0.00068</f>
        <v>6.8000000000000005E-4</v>
      </c>
      <c r="G147" s="98">
        <f>45.40311</f>
        <v>45.403109999999998</v>
      </c>
      <c r="H147" s="139">
        <f t="shared" si="15"/>
        <v>230.59689</v>
      </c>
      <c r="I147" s="98">
        <f>27.57543</f>
        <v>27.575430000000001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0.8487</f>
        <v>0.84870000000000001</v>
      </c>
      <c r="G148" s="139">
        <f>115.39764</f>
        <v>115.39764</v>
      </c>
      <c r="H148" s="139">
        <f t="shared" si="15"/>
        <v>-115.39764</v>
      </c>
      <c r="I148" s="139">
        <f>101.84793</f>
        <v>101.84793000000001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1179.2704900000001</v>
      </c>
      <c r="G150" s="76">
        <f>G128+G132+G133+G143+G144+G145+G146+G147+G148</f>
        <v>119753.83249999999</v>
      </c>
      <c r="H150" s="76">
        <f>H128+H132+H133+H143+H144+H145+H146+H147+H148</f>
        <v>87886.16750000001</v>
      </c>
      <c r="I150" s="76">
        <f>I128+I132+I133+I143+I144+I145+I146+I147+I148</f>
        <v>145389.70215999999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133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134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115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115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115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0.14994</f>
        <v>0.14993999999999999</v>
      </c>
      <c r="F175" s="276">
        <f>853.78294</f>
        <v>853.78294000000005</v>
      </c>
      <c r="G175" s="43">
        <f>D175-F175-F176</f>
        <v>1992.94515</v>
      </c>
      <c r="H175" s="276">
        <f>1390.08154</f>
        <v>1390.0815399999999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0</f>
        <v>0</v>
      </c>
      <c r="F176" s="152">
        <f>1376.27191</f>
        <v>1376.2719099999999</v>
      </c>
      <c r="G176" s="217"/>
      <c r="H176" s="152">
        <f>1677.92714</f>
        <v>1677.92714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82.49204</f>
        <v>82.492040000000003</v>
      </c>
      <c r="G177" s="172">
        <f>D177-F177</f>
        <v>117.50796</v>
      </c>
      <c r="H177" s="172">
        <f>71.61016</f>
        <v>71.610159999999993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12.3438</v>
      </c>
      <c r="F178" s="181">
        <f>F179+F180+F181</f>
        <v>5893.4576900000002</v>
      </c>
      <c r="G178" s="181">
        <f>D178-F178</f>
        <v>440.54230999999982</v>
      </c>
      <c r="H178" s="181">
        <f>H179+H180+H181</f>
        <v>7909.7098599999999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2.1997</f>
        <v>2.1997</v>
      </c>
      <c r="F179" s="127">
        <f>3079.708</f>
        <v>3079.7080000000001</v>
      </c>
      <c r="G179" s="127"/>
      <c r="H179" s="127">
        <f>4146.53732</f>
        <v>4146.5373200000004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10.1421</f>
        <v>10.142099999999999</v>
      </c>
      <c r="F180" s="127">
        <f>1780.79994</f>
        <v>1780.7999400000001</v>
      </c>
      <c r="G180" s="127"/>
      <c r="H180" s="127">
        <f>2378.91047</f>
        <v>2378.9104699999998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0.002</f>
        <v>2E-3</v>
      </c>
      <c r="F181" s="192">
        <f>1032.94975</f>
        <v>1032.94975</v>
      </c>
      <c r="G181" s="192"/>
      <c r="H181" s="192">
        <f>1384.26207</f>
        <v>1384.26207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12.493740000000001</v>
      </c>
      <c r="F184" s="194">
        <f>F175+F176+F177+F178+F182+F183</f>
        <v>8206.0045800000007</v>
      </c>
      <c r="G184" s="194">
        <f>D184-F184</f>
        <v>2616.9954199999993</v>
      </c>
      <c r="H184" s="194">
        <f>H175+H176+H177+H178+H182+H183</f>
        <v>11049.3287</v>
      </c>
      <c r="I184" s="163"/>
      <c r="J184" s="160"/>
    </row>
    <row r="185" spans="1:10" ht="42" customHeight="1" x14ac:dyDescent="0.35">
      <c r="A185" s="1"/>
      <c r="B185" s="198"/>
      <c r="C185" s="227" t="s">
        <v>141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115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115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115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121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122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125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3.83092</f>
        <v>3.8309199999999999</v>
      </c>
      <c r="F204" s="124">
        <f>38844.108</f>
        <v>38844.108</v>
      </c>
      <c r="G204" s="124">
        <f>D204-F204</f>
        <v>7437.8919999999998</v>
      </c>
      <c r="H204" s="124">
        <f>39145.15069</f>
        <v>39145.150690000002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0.0168</f>
        <v>1.6799999999999999E-2</v>
      </c>
      <c r="F205" s="124">
        <f>34.65456</f>
        <v>34.654559999999996</v>
      </c>
      <c r="G205" s="124">
        <f>D205-F205</f>
        <v>65.345439999999996</v>
      </c>
      <c r="H205" s="124">
        <f>57.11055</f>
        <v>57.110550000000003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3.8477199999999998</v>
      </c>
      <c r="F207" s="190">
        <f>SUM(F204:F206)</f>
        <v>38878.762560000003</v>
      </c>
      <c r="G207" s="190">
        <f>D207-F207</f>
        <v>7539.2374399999972</v>
      </c>
      <c r="H207" s="190">
        <f>SUM(H204:H206)</f>
        <v>39202.26124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115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117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115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123</v>
      </c>
      <c r="D249" s="124">
        <v>3987</v>
      </c>
      <c r="E249" s="75">
        <f>E250+E251</f>
        <v>94.897400000000005</v>
      </c>
      <c r="F249" s="75">
        <f>F250+F251</f>
        <v>3889.42958</v>
      </c>
      <c r="G249" s="75">
        <f>D249-F249</f>
        <v>97.570420000000013</v>
      </c>
      <c r="H249" s="75">
        <f>H250+H251</f>
        <v>3838.5632900000001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94.351</f>
        <v>94.350999999999999</v>
      </c>
      <c r="F250" s="75">
        <f>3370.05037</f>
        <v>3370.0503699999999</v>
      </c>
      <c r="G250" s="75"/>
      <c r="H250" s="75">
        <f>3324.4413</f>
        <v>3324.4413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0.5464</f>
        <v>0.5464</v>
      </c>
      <c r="F251" s="124">
        <f>519.37921</f>
        <v>519.37920999999994</v>
      </c>
      <c r="G251" s="168"/>
      <c r="H251" s="124">
        <f>514.12199</f>
        <v>514.12198999999998</v>
      </c>
      <c r="I251" s="248"/>
      <c r="J251" s="120"/>
    </row>
    <row r="252" spans="1:10" ht="15" customHeight="1" x14ac:dyDescent="0.35">
      <c r="A252" s="1"/>
      <c r="B252" s="254"/>
      <c r="C252" s="90" t="s">
        <v>124</v>
      </c>
      <c r="D252" s="124">
        <v>4613</v>
      </c>
      <c r="E252" s="75">
        <f>31.18444</f>
        <v>31.184439999999999</v>
      </c>
      <c r="F252" s="75">
        <f>5025.43983</f>
        <v>5025.4398300000003</v>
      </c>
      <c r="G252" s="75">
        <f>D252-F252</f>
        <v>-412.43983000000026</v>
      </c>
      <c r="H252" s="75">
        <f>4854.43937</f>
        <v>4854.4393700000001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126.08184</v>
      </c>
      <c r="F253" s="190">
        <f>SUM(F249,F252)</f>
        <v>8914.8694099999993</v>
      </c>
      <c r="G253" s="190">
        <f>D253-F253</f>
        <v>-314.86940999999933</v>
      </c>
      <c r="H253" s="190">
        <f>SUM(H249,H252)</f>
        <v>8693.0026600000001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115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118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115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123</v>
      </c>
      <c r="D295" s="124">
        <v>5090</v>
      </c>
      <c r="E295" s="75">
        <f>E296+E297</f>
        <v>131.46814000000001</v>
      </c>
      <c r="F295" s="75">
        <f>F296+F297</f>
        <v>4746.8863199999996</v>
      </c>
      <c r="G295" s="75">
        <f>D295-F295</f>
        <v>343.11368000000039</v>
      </c>
      <c r="H295" s="75">
        <f>H296+H297</f>
        <v>5472.9270999999999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130.41344</f>
        <v>130.41344000000001</v>
      </c>
      <c r="F296" s="75">
        <f>4310.16061</f>
        <v>4310.1606099999999</v>
      </c>
      <c r="G296" s="75"/>
      <c r="H296" s="75">
        <f>5054.37758</f>
        <v>5054.3775800000003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1.0547</f>
        <v>1.0547</v>
      </c>
      <c r="F297" s="124">
        <f>436.72571</f>
        <v>436.72570999999999</v>
      </c>
      <c r="G297" s="168"/>
      <c r="H297" s="124">
        <f>418.54952</f>
        <v>418.54951999999997</v>
      </c>
      <c r="I297" s="248"/>
      <c r="J297" s="120"/>
    </row>
    <row r="298" spans="1:10" ht="15" customHeight="1" x14ac:dyDescent="0.35">
      <c r="A298" s="1"/>
      <c r="B298" s="254"/>
      <c r="C298" s="90" t="s">
        <v>124</v>
      </c>
      <c r="D298" s="124">
        <v>2981</v>
      </c>
      <c r="E298" s="75">
        <f>43.61422</f>
        <v>43.614220000000003</v>
      </c>
      <c r="F298" s="75">
        <f>2376.74519</f>
        <v>2376.7451900000001</v>
      </c>
      <c r="G298" s="75">
        <f>D298-F298</f>
        <v>604.25480999999991</v>
      </c>
      <c r="H298" s="75">
        <f>2911.54238</f>
        <v>2911.5423799999999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175.08235999999999</v>
      </c>
      <c r="F299" s="190">
        <f>SUM(F295,F298)</f>
        <v>7123.6315099999993</v>
      </c>
      <c r="G299" s="190">
        <f>D299-F299</f>
        <v>947.36849000000075</v>
      </c>
      <c r="H299" s="190">
        <f>SUM(H295,H298)</f>
        <v>8384.4694799999997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115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115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126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4.1713</f>
        <v>4.1712999999999996</v>
      </c>
      <c r="F350" s="124">
        <f>479.22884</f>
        <v>479.22883999999999</v>
      </c>
      <c r="G350" s="124">
        <f>D350-F350</f>
        <v>320.77116000000001</v>
      </c>
      <c r="H350" s="124">
        <f>449.22233</f>
        <v>449.22233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62.51731</f>
        <v>62.517310000000002</v>
      </c>
      <c r="F351" s="124">
        <f>1847.97194</f>
        <v>1847.9719399999999</v>
      </c>
      <c r="G351" s="124">
        <f>D351-F351</f>
        <v>1193.0280600000001</v>
      </c>
      <c r="H351" s="124">
        <f>2331.96884</f>
        <v>2331.96884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1.7076</f>
        <v>1.7076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66.688609999999997</v>
      </c>
      <c r="F354" s="190">
        <f>SUM(F350:F353)</f>
        <v>2330.9014000000002</v>
      </c>
      <c r="G354" s="190">
        <f>D354-F354</f>
        <v>1520.0985999999998</v>
      </c>
      <c r="H354" s="190">
        <f>H350+H351+H352+H353</f>
        <v>2785.63751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115</v>
      </c>
    </row>
    <row r="358" spans="1:10" ht="14.15" customHeight="1" x14ac:dyDescent="0.35">
      <c r="A358" s="1" t="s">
        <v>115</v>
      </c>
    </row>
    <row r="359" spans="1:10" ht="14.15" customHeight="1" x14ac:dyDescent="0.35">
      <c r="A359" s="1" t="s">
        <v>115</v>
      </c>
    </row>
    <row r="360" spans="1:10" ht="14.15" customHeight="1" x14ac:dyDescent="0.35">
      <c r="A360" s="1"/>
      <c r="C360" s="150" t="s">
        <v>115</v>
      </c>
    </row>
    <row r="361" spans="1:10" x14ac:dyDescent="0.35">
      <c r="A361" s="1"/>
      <c r="C361" s="150" t="s">
        <v>115</v>
      </c>
    </row>
    <row r="362" spans="1:10" ht="14.15" customHeight="1" x14ac:dyDescent="0.35">
      <c r="A362" s="1"/>
      <c r="C362" s="150" t="s">
        <v>115</v>
      </c>
    </row>
    <row r="363" spans="1:10" ht="14.15" customHeight="1" x14ac:dyDescent="0.35">
      <c r="A363" s="1"/>
      <c r="C363" s="150" t="s">
        <v>115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137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138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103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65.376559999999998</v>
      </c>
      <c r="G380" s="253">
        <f t="shared" si="17"/>
        <v>12048.892540000001</v>
      </c>
      <c r="H380" s="253">
        <f>H384+H383+H382+H381</f>
        <v>10920.107459999999</v>
      </c>
      <c r="I380" s="253">
        <f t="shared" si="17"/>
        <v>11509.329959999999</v>
      </c>
      <c r="J380" s="130"/>
    </row>
    <row r="381" spans="1:10" ht="14.15" customHeight="1" x14ac:dyDescent="0.35">
      <c r="A381" s="218"/>
      <c r="B381" s="72"/>
      <c r="C381" s="255" t="s">
        <v>104</v>
      </c>
      <c r="D381" s="256">
        <v>12051</v>
      </c>
      <c r="E381" s="256">
        <v>13190</v>
      </c>
      <c r="F381" s="257">
        <f>0</f>
        <v>0</v>
      </c>
      <c r="G381" s="257">
        <f>6891.16257</f>
        <v>6891.1625700000004</v>
      </c>
      <c r="H381" s="257">
        <f t="shared" ref="H381:H385" si="18">E381-G381</f>
        <v>6298.8374299999996</v>
      </c>
      <c r="I381" s="257">
        <f>6159.82535</f>
        <v>6159.8253500000001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1542.79621</f>
        <v>1542.79621</v>
      </c>
      <c r="H382" s="257">
        <f t="shared" si="18"/>
        <v>1890.20379</v>
      </c>
      <c r="I382" s="257">
        <f>1205.54055</f>
        <v>1205.5405499999999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40.61476</f>
        <v>40.614759999999997</v>
      </c>
      <c r="G383" s="257">
        <f>1613.1905</f>
        <v>1613.1904999999999</v>
      </c>
      <c r="H383" s="257">
        <f t="shared" si="18"/>
        <v>-130.19049999999993</v>
      </c>
      <c r="I383" s="257">
        <f>1629.19676</f>
        <v>1629.19676</v>
      </c>
      <c r="J383" s="130"/>
    </row>
    <row r="384" spans="1:10" ht="14.15" customHeight="1" x14ac:dyDescent="0.35">
      <c r="A384" s="218"/>
      <c r="B384" s="72"/>
      <c r="C384" s="262" t="s">
        <v>105</v>
      </c>
      <c r="D384" s="263">
        <v>4867</v>
      </c>
      <c r="E384" s="263">
        <v>4863</v>
      </c>
      <c r="F384" s="257">
        <f>24.7618</f>
        <v>24.761800000000001</v>
      </c>
      <c r="G384" s="257">
        <f>2001.74326</f>
        <v>2001.74326</v>
      </c>
      <c r="H384" s="257">
        <f t="shared" si="18"/>
        <v>2861.2567399999998</v>
      </c>
      <c r="I384" s="257">
        <f>2514.7673</f>
        <v>2514.7673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3.879</f>
        <v>3.879</v>
      </c>
      <c r="G385" s="268">
        <f>2143.84678</f>
        <v>2143.8467799999999</v>
      </c>
      <c r="H385" s="268">
        <f t="shared" si="18"/>
        <v>3356.1532200000001</v>
      </c>
      <c r="I385" s="268">
        <f>5104.90128</f>
        <v>5104.90128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92.453890000000001</v>
      </c>
      <c r="G386" s="269">
        <f>G388+G387</f>
        <v>2457.04981</v>
      </c>
      <c r="H386" s="269">
        <f>E386-G386</f>
        <v>5542.9501899999996</v>
      </c>
      <c r="I386" s="269">
        <f>I388+I387</f>
        <v>3221.0414300000002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0.1902</f>
        <v>0.19020000000000001</v>
      </c>
      <c r="G387" s="257">
        <f>764.40018</f>
        <v>764.40017999999998</v>
      </c>
      <c r="H387" s="257"/>
      <c r="I387" s="257">
        <f>840.24008</f>
        <v>840.24008000000003</v>
      </c>
      <c r="J387" s="130"/>
    </row>
    <row r="388" spans="1:10" ht="14.15" customHeight="1" x14ac:dyDescent="0.35">
      <c r="A388" s="218"/>
      <c r="B388" s="72"/>
      <c r="C388" s="273" t="s">
        <v>106</v>
      </c>
      <c r="D388" s="274"/>
      <c r="E388" s="277"/>
      <c r="F388" s="278">
        <f>92.26369</f>
        <v>92.263689999999997</v>
      </c>
      <c r="G388" s="278">
        <f>1692.64963</f>
        <v>1692.6496299999999</v>
      </c>
      <c r="H388" s="278"/>
      <c r="I388" s="278">
        <f>2380.80135</f>
        <v>2380.8013500000002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0.1164</f>
        <v>0.1164</v>
      </c>
      <c r="H389" s="268">
        <f>E389-G389</f>
        <v>12.883599999999999</v>
      </c>
      <c r="I389" s="268">
        <f>0.0735</f>
        <v>7.3499999999999996E-2</v>
      </c>
      <c r="J389" s="130"/>
    </row>
    <row r="390" spans="1:10" ht="14.15" customHeight="1" x14ac:dyDescent="0.35">
      <c r="A390" s="218"/>
      <c r="B390" s="72"/>
      <c r="C390" s="279" t="s">
        <v>107</v>
      </c>
      <c r="D390" s="282"/>
      <c r="E390" s="283"/>
      <c r="F390" s="268">
        <f>0.07548</f>
        <v>7.5480000000000005E-2</v>
      </c>
      <c r="G390" s="268">
        <f>102.83948</f>
        <v>102.83947999999999</v>
      </c>
      <c r="H390" s="268">
        <f>E390-G390</f>
        <v>-102.83947999999999</v>
      </c>
      <c r="I390" s="268">
        <f>115.25066</f>
        <v>115.25066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161.78493</v>
      </c>
      <c r="G391" s="287">
        <f t="shared" si="19"/>
        <v>16752.745009999999</v>
      </c>
      <c r="H391" s="287">
        <f>H380+H385+H386+H389+H390</f>
        <v>19729.254990000001</v>
      </c>
      <c r="I391" s="287">
        <f t="shared" si="19"/>
        <v>19950.596830000002</v>
      </c>
      <c r="J391" s="130"/>
    </row>
    <row r="392" spans="1:10" ht="14.15" customHeight="1" x14ac:dyDescent="0.35">
      <c r="A392" s="218"/>
      <c r="B392" s="72"/>
      <c r="C392" s="161" t="s">
        <v>108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136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 t="s">
        <v>135</v>
      </c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115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115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115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109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1" t="s">
        <v>142</v>
      </c>
      <c r="D407" s="301"/>
      <c r="E407" s="301"/>
      <c r="F407" s="301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110</v>
      </c>
      <c r="D412" s="22" t="s">
        <v>111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112</v>
      </c>
      <c r="D413" s="204">
        <v>894</v>
      </c>
      <c r="E413" s="26">
        <f>SUM(E414:E415)</f>
        <v>54.284400000000005</v>
      </c>
      <c r="F413" s="26">
        <f>SUM(F414:F415)</f>
        <v>613.85467999999992</v>
      </c>
      <c r="G413" s="85">
        <f>D413-F413</f>
        <v>280.14532000000008</v>
      </c>
      <c r="H413" s="26">
        <f>SUM(H414:H415)</f>
        <v>597.21398999999997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40.615</f>
        <v>40.615000000000002</v>
      </c>
      <c r="F414" s="205">
        <f>479.07908</f>
        <v>479.07907999999998</v>
      </c>
      <c r="G414" s="206"/>
      <c r="H414" s="205">
        <f>461.7161</f>
        <v>461.71609999999998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13.6694</f>
        <v>13.6694</v>
      </c>
      <c r="F415" s="208">
        <f>134.7756</f>
        <v>134.7756</v>
      </c>
      <c r="G415" s="209"/>
      <c r="H415" s="208">
        <f>135.49789</f>
        <v>135.49789000000001</v>
      </c>
      <c r="I415" s="150"/>
      <c r="J415" s="130"/>
    </row>
    <row r="416" spans="1:10" ht="14.15" customHeight="1" x14ac:dyDescent="0.35">
      <c r="A416" s="218"/>
      <c r="B416" s="72"/>
      <c r="C416" s="265" t="s">
        <v>113</v>
      </c>
      <c r="D416" s="10">
        <v>894</v>
      </c>
      <c r="E416" s="26">
        <f>SUM(E417:E418)</f>
        <v>0</v>
      </c>
      <c r="F416" s="26">
        <f>SUM(F417:F418)</f>
        <v>0</v>
      </c>
      <c r="G416" s="85">
        <f>D416-F416</f>
        <v>894</v>
      </c>
      <c r="H416" s="26">
        <f>SUM(H417:H418)</f>
        <v>0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5" customHeight="1" x14ac:dyDescent="0.35">
      <c r="A419" s="218"/>
      <c r="B419" s="72"/>
      <c r="C419" s="265" t="s">
        <v>114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54.284400000000005</v>
      </c>
      <c r="F423" s="40">
        <f>F413+F416+F419+F422</f>
        <v>613.85467999999992</v>
      </c>
      <c r="G423" s="41">
        <f>D423-F423</f>
        <v>2067.1453200000001</v>
      </c>
      <c r="H423" s="40">
        <f>H413+H416+H419+H422</f>
        <v>597.21398999999997</v>
      </c>
      <c r="I423" s="27"/>
      <c r="J423" s="130"/>
    </row>
    <row r="424" spans="1:10" ht="42" customHeight="1" x14ac:dyDescent="0.35">
      <c r="A424" s="218"/>
      <c r="B424" s="72"/>
      <c r="C424" s="292" t="s">
        <v>119</v>
      </c>
      <c r="D424" s="292"/>
      <c r="E424" s="292"/>
      <c r="F424" s="292"/>
      <c r="G424" s="292"/>
      <c r="H424" s="292"/>
      <c r="I424" s="292"/>
      <c r="J424" s="293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4">
    <mergeCell ref="C17:H17"/>
    <mergeCell ref="B2:J2"/>
    <mergeCell ref="B9:J9"/>
    <mergeCell ref="C11:D11"/>
    <mergeCell ref="E11:F11"/>
    <mergeCell ref="G11:H11"/>
    <mergeCell ref="C424:J424"/>
    <mergeCell ref="C52:H52"/>
    <mergeCell ref="D55:D59"/>
    <mergeCell ref="G55:G59"/>
    <mergeCell ref="C81:D81"/>
    <mergeCell ref="E81:F81"/>
    <mergeCell ref="G81:H81"/>
    <mergeCell ref="C407:F407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35&amp;R02.09.2024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2024-09-03T08:50:21Z</dcterms:modified>
</cp:coreProperties>
</file>