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37\"/>
    </mc:Choice>
  </mc:AlternateContent>
  <bookViews>
    <workbookView xWindow="0" yWindow="0" windowWidth="19200" windowHeight="7050" tabRatio="374"/>
  </bookViews>
  <sheets>
    <sheet name="UKE_36_2021" sheetId="1" r:id="rId1"/>
  </sheets>
  <definedNames>
    <definedName name="Z_14D440E4_F18A_4F78_9989_38C1B133222D_.wvu.Cols" localSheetId="0" hidden="1">UKE_36_2021!#REF!</definedName>
    <definedName name="Z_14D440E4_F18A_4F78_9989_38C1B133222D_.wvu.PrintArea" localSheetId="0" hidden="1">UKE_36_2021!$B$1:$J$344</definedName>
    <definedName name="Z_14D440E4_F18A_4F78_9989_38C1B133222D_.wvu.Rows" localSheetId="0" hidden="1">UKE_36_2021!#REF!,UKE_36_2021!#REF!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G39" i="1"/>
  <c r="F39" i="1"/>
  <c r="F34" i="1"/>
  <c r="I39" i="1" l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<sst xmlns="http://schemas.openxmlformats.org/spreadsheetml/2006/main" count="265" uniqueCount="143">
  <si>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</si>
  <si>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</si>
  <si>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</si>
  <si>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</si>
  <si>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</si>
  <si>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</si>
  <si>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</si>
  <si>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</si>
  <si>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</si>
  <si>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</si>
  <si>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</si>
  <si>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</si>
  <si>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</si>
  <si>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</si>
  <si>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</si>
  <si>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</si>
  <si>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</si>
  <si>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</si>
  <si>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</si>
  <si>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</si>
  <si>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</si>
  <si>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</si>
  <si>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</si>
  <si>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</si>
  <si>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</si>
  <si>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</si>
  <si>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</si>
  <si>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</si>
  <si>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</si>
  <si>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</si>
  <si>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</si>
  <si>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</si>
  <si>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</si>
  <si>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</si>
  <si>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</si>
  <si>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</si>
  <si>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</si>
  <si>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</si>
  <si>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</si>
  <si>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</si>
  <si>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</si>
  <si>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</si>
  <si>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</si>
  <si>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</si>
  <si>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</si>
  <si>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</si>
  <si>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</si>
  <si>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</si>
  <si>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</si>
  <si>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</si>
  <si>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</si>
  <si>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</si>
  <si>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</si>
  <si>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</si>
  <si>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</si>
  <si>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</si>
  <si>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</si>
  <si>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</si>
  <si>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</si>
  <si>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</si>
  <si>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</si>
  <si>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</si>
  <si>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</si>
  <si>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</si>
  <si>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</si>
  <si>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</si>
  <si>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</si>
  <si>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</si>
  <si>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</si>
  <si>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</si>
  <si>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</si>
  <si>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</si>
  <si>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</si>
  <si>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</si>
  <si>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</si>
  <si>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</si>
  <si>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</si>
  <si>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</si>
  <si>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</si>
  <si>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</si>
  <si>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</si>
  <si>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</si>
  <si>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</si>
  <si>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</si>
  <si>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</si>
  <si>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</si>
  <si>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</si>
  <si>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</si>
  <si>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</si>
  <si>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</si>
  <si>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</si>
  <si>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</si>
  <si>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</si>
  <si>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</si>
  <si>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</si>
  <si>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</si>
  <si>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</si>
  <si>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</si>
  <si>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</si>
  <si>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</si>
  <si>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</si>
  <si>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</si>
  <si>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</si>
  <si>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</si>
  <si>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</si>
  <si>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</si>
  <si>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</si>
  <si>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</si>
  <si>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</si>
  <si>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</si>
  <si>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</si>
  <si>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</si>
  <si>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</si>
  <si>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</si>
  <si>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</si>
  <si>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</si>
  <si>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</si>
  <si>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</si>
  <si>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</si>
  <si>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</si>
  <si>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</si>
  <si>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</si>
  <si>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</si>
  <si>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</si>
  <si>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</si>
  <si>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</si>
  <si>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</si>
  <si>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</si>
  <si>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</si>
  <si>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</si>
  <si>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</si>
  <si>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</si>
  <si>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</si>
  <si>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</si>
  <si>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</si>
  <si>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t>FANGST UKE 37</t>
  </si>
  <si>
    <t>FANGST T.O.M UKE 37</t>
  </si>
  <si>
    <t>RESTKVOTER UKE 37</t>
  </si>
  <si>
    <t>FANGST T.O.M. UKE 37 2020</t>
  </si>
  <si>
    <r>
      <t xml:space="preserve">2 </t>
    </r>
    <r>
      <rPr>
        <sz val="9"/>
        <color indexed="8"/>
        <rFont val="Calibri"/>
        <family val="2"/>
      </rPr>
      <t>Registrert rekreasjonsfiske utgjør 50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</si>
  <si>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4 949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</si>
  <si>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536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</si>
  <si>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937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</si>
</sst>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Normal="110" zoomScaleSheetLayoutView="100" workbookViewId="0">
      <selection activeCell="I41" sqref="I41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135</v>
      </c>
      <c r="G22" s="167" t="s">
        <v>136</v>
      </c>
      <c r="H22" s="167" t="s">
        <v>137</v>
      </c>
      <c r="I22" s="167" t="s">
        <v>138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H23" si="0">D25+D24</f>
        <v>129649</v>
      </c>
      <c r="E23" s="181">
        <f t="shared" si="0"/>
        <v>130454</v>
      </c>
      <c r="F23" s="172">
        <f t="shared" si="0"/>
        <v>520.74014999999997</v>
      </c>
      <c r="G23" s="172">
        <f t="shared" si="0"/>
        <v>64108.911910000003</v>
      </c>
      <c r="H23" s="172">
        <f t="shared" si="0"/>
        <v>66345.088090000005</v>
      </c>
      <c r="I23" s="172">
        <f>I25+I24</f>
        <v>65043.396700000005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504.49815000000001</v>
      </c>
      <c r="G24" s="173">
        <v>63779.027710000002</v>
      </c>
      <c r="H24" s="173">
        <f>E24-G24</f>
        <v>65942.972290000005</v>
      </c>
      <c r="I24" s="173">
        <v>64552.500310000003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>
        <v>16.242000000000001</v>
      </c>
      <c r="G25" s="173">
        <v>329.88420000000002</v>
      </c>
      <c r="H25" s="173">
        <f>E25-G25</f>
        <v>402.11579999999998</v>
      </c>
      <c r="I25" s="173">
        <v>490.89639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H26" si="1">D34+D33+D27</f>
        <v>280430</v>
      </c>
      <c r="E26" s="181">
        <f t="shared" si="1"/>
        <v>281832</v>
      </c>
      <c r="F26" s="172">
        <f t="shared" si="1"/>
        <v>649.80288999999993</v>
      </c>
      <c r="G26" s="172">
        <f t="shared" si="1"/>
        <v>218795.76692099997</v>
      </c>
      <c r="H26" s="172">
        <f t="shared" si="1"/>
        <v>63036.233078999998</v>
      </c>
      <c r="I26" s="172">
        <f>I34+I33+I27</f>
        <v>192926.55764000001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H27" si="2">D28+D29+D30+D31+D32</f>
        <v>218782</v>
      </c>
      <c r="E27" s="184">
        <f t="shared" si="2"/>
        <v>220475</v>
      </c>
      <c r="F27" s="175">
        <f t="shared" si="2"/>
        <v>528.73606999999993</v>
      </c>
      <c r="G27" s="175">
        <f t="shared" si="2"/>
        <v>181638.22481099999</v>
      </c>
      <c r="H27" s="175">
        <f t="shared" si="2"/>
        <v>38836.775189</v>
      </c>
      <c r="I27" s="175">
        <f>I28+I29+I30+I31+I32</f>
        <v>153043.01693000001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120.77753-E55</f>
        <v>42.777529999999999</v>
      </c>
      <c r="G28" s="176">
        <f>43983.9776-F55</f>
        <v>42616.977599999998</v>
      </c>
      <c r="H28" s="176">
        <f t="shared" ref="H28:H34" si="3">E28-G28</f>
        <v>10081.022400000002</v>
      </c>
      <c r="I28" s="176">
        <f>39513.00133-H55</f>
        <v>37629.001329999999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272.57041-E56</f>
        <v>106.57040999999998</v>
      </c>
      <c r="G29" s="176">
        <f>52170.88149-F56</f>
        <v>49946.88149</v>
      </c>
      <c r="H29" s="176">
        <f t="shared" si="3"/>
        <v>8289.1185100000002</v>
      </c>
      <c r="I29" s="176">
        <f>40956.59739-H56</f>
        <v>38560.597390000003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99.96967-E57</f>
        <v>-51.030330000000006</v>
      </c>
      <c r="G30" s="176">
        <f>47319.116699-F57</f>
        <v>43898.116698999998</v>
      </c>
      <c r="H30" s="176">
        <f t="shared" si="3"/>
        <v>10335.883301000002</v>
      </c>
      <c r="I30" s="176">
        <f>43504.94268-H57</f>
        <v>40172.94268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35.41846-E58</f>
        <v>-18.581539999999997</v>
      </c>
      <c r="G31" s="176">
        <f>38164.249022-F58</f>
        <v>36461.249022000004</v>
      </c>
      <c r="H31" s="176">
        <f t="shared" si="3"/>
        <v>3575.7509779999964</v>
      </c>
      <c r="I31" s="176">
        <f>29068.47553-H58</f>
        <v>27328.47553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449</v>
      </c>
      <c r="G32" s="176">
        <f>F54</f>
        <v>8715</v>
      </c>
      <c r="H32" s="176">
        <f t="shared" si="3"/>
        <v>6555</v>
      </c>
      <c r="I32" s="176">
        <f>H54</f>
        <v>9352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53.311500000000002</v>
      </c>
      <c r="G33" s="175">
        <v>19017.083839999999</v>
      </c>
      <c r="H33" s="175">
        <f t="shared" si="3"/>
        <v>15982.916160000001</v>
      </c>
      <c r="I33" s="175">
        <v>19184.362010000001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67.755319999999998</v>
      </c>
      <c r="G34" s="175">
        <f>G35+G36</f>
        <v>18140.458269999999</v>
      </c>
      <c r="H34" s="175">
        <f t="shared" si="3"/>
        <v>8216.5417300000008</v>
      </c>
      <c r="I34" s="175">
        <f>I35+I36</f>
        <v>20699.1787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79.75532-E59-E60</f>
        <v>11.755319999999998</v>
      </c>
      <c r="G35" s="176">
        <f>21220.45827-F59-F60</f>
        <v>17032.458269999999</v>
      </c>
      <c r="H35" s="176">
        <f t="shared" ref="H35:H42" si="4">E35-G35</f>
        <v>7454.5417300000008</v>
      </c>
      <c r="I35" s="176">
        <f>23793.1787-H59-H60</f>
        <v>19423.1787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56</v>
      </c>
      <c r="G36" s="271">
        <f>F59</f>
        <v>1108</v>
      </c>
      <c r="H36" s="271">
        <f t="shared" si="4"/>
        <v>762</v>
      </c>
      <c r="I36" s="271">
        <f>H59</f>
        <v>1276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1295.966999</v>
      </c>
      <c r="H37" s="179">
        <f t="shared" si="4"/>
        <v>1204.033001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>
        <v>4.5220000000000002</v>
      </c>
      <c r="G38" s="391">
        <v>483.95420000000001</v>
      </c>
      <c r="H38" s="388">
        <f t="shared" si="4"/>
        <v>485.04579999999999</v>
      </c>
      <c r="I38" s="391">
        <v>471.55669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12</v>
      </c>
      <c r="G39" s="391">
        <f>F60</f>
        <v>3080</v>
      </c>
      <c r="H39" s="388">
        <f t="shared" si="4"/>
        <v>796</v>
      </c>
      <c r="I39" s="391">
        <f>H60</f>
        <v>3094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2.7751100000000002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/>
      <c r="G41" s="391">
        <v>1581.9437</v>
      </c>
      <c r="H41" s="388">
        <f t="shared" si="4"/>
        <v>4668.0563000000002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0.87923999999998159</v>
      </c>
      <c r="G42" s="391">
        <v>87.416900000011083</v>
      </c>
      <c r="H42" s="388">
        <f t="shared" si="4"/>
        <v>-87.416900000011083</v>
      </c>
      <c r="I42" s="391">
        <v>127.46251999994274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1190.71939</v>
      </c>
      <c r="G43" s="381">
        <f>G23+G26+G37+G38+G39+G40+G41+G42</f>
        <v>296433.96062999999</v>
      </c>
      <c r="H43" s="188">
        <f t="shared" si="5"/>
        <v>136447.03937000001</v>
      </c>
      <c r="I43" s="381">
        <f>I23+I26+I37+I38+I39+I40+I41+I42</f>
        <v>269801.16619999998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37</v>
      </c>
      <c r="F53" s="167" t="str">
        <f>G22</f>
        <v>FANGST T.O.M UKE 37</v>
      </c>
      <c r="G53" s="167" t="str">
        <f>H22</f>
        <v>RESTKVOTER UKE 37</v>
      </c>
      <c r="H53" s="167" t="str">
        <f>I22</f>
        <v>FANGST T.O.M. UKE 37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6">
        <v>15270</v>
      </c>
      <c r="E54" s="172">
        <f>E58+E57+E56+E55</f>
        <v>449</v>
      </c>
      <c r="F54" s="172">
        <f>F58+F57+F56+F55</f>
        <v>8715</v>
      </c>
      <c r="G54" s="406">
        <f>D54-F54</f>
        <v>6555</v>
      </c>
      <c r="H54" s="172">
        <f>H58+H57+H56+H55</f>
        <v>9352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7"/>
      <c r="E55" s="176">
        <v>78</v>
      </c>
      <c r="F55" s="176">
        <v>1367</v>
      </c>
      <c r="G55" s="407"/>
      <c r="H55" s="176">
        <v>1884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7"/>
      <c r="E56" s="176">
        <v>166</v>
      </c>
      <c r="F56" s="176">
        <v>2224</v>
      </c>
      <c r="G56" s="407"/>
      <c r="H56" s="176">
        <v>2396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7"/>
      <c r="E57" s="176">
        <v>151</v>
      </c>
      <c r="F57" s="176">
        <v>3421</v>
      </c>
      <c r="G57" s="407"/>
      <c r="H57" s="176">
        <v>3332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8"/>
      <c r="E58" s="177">
        <v>54</v>
      </c>
      <c r="F58" s="177">
        <v>1703</v>
      </c>
      <c r="G58" s="408"/>
      <c r="H58" s="177">
        <v>1740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56</v>
      </c>
      <c r="F59" s="390">
        <v>1108</v>
      </c>
      <c r="G59" s="283">
        <f>D59-F59</f>
        <v>762</v>
      </c>
      <c r="H59" s="390">
        <v>1276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12</v>
      </c>
      <c r="F60" s="179">
        <v>3080</v>
      </c>
      <c r="G60" s="179">
        <f>D60-F60</f>
        <v>753</v>
      </c>
      <c r="H60" s="179">
        <v>3094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37</v>
      </c>
      <c r="G104" s="108" t="str">
        <f>G22</f>
        <v>FANGST T.O.M UKE 37</v>
      </c>
      <c r="H104" s="108" t="str">
        <f>H22</f>
        <v>RESTKVOTER UKE 37</v>
      </c>
      <c r="I104" s="108" t="str">
        <f>I22</f>
        <v>FANGST T.O.M. UKE 37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620.92618000000004</v>
      </c>
      <c r="G105" s="172">
        <f t="shared" si="6"/>
        <v>43176.36808</v>
      </c>
      <c r="H105" s="172">
        <f t="shared" si="6"/>
        <v>4269.6319200000016</v>
      </c>
      <c r="I105" s="172">
        <f t="shared" si="6"/>
        <v>26678.391620000002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516.58558000000005</v>
      </c>
      <c r="G106" s="173">
        <v>42454.926059999998</v>
      </c>
      <c r="H106" s="173">
        <f>E106-G106</f>
        <v>4166.073940000002</v>
      </c>
      <c r="I106" s="173">
        <v>26432.44382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104.34059999999999</v>
      </c>
      <c r="G107" s="174">
        <v>721.44201999999996</v>
      </c>
      <c r="H107" s="174">
        <f>E107-G107</f>
        <v>103.55798000000004</v>
      </c>
      <c r="I107" s="174">
        <v>245.9478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>D109+D114+D115</f>
        <v>71087</v>
      </c>
      <c r="E108" s="181">
        <f t="shared" ref="E108:H108" si="7">E109+E114+E115</f>
        <v>76252</v>
      </c>
      <c r="F108" s="172">
        <f t="shared" si="7"/>
        <v>564.08512000000007</v>
      </c>
      <c r="G108" s="172">
        <f t="shared" si="7"/>
        <v>36754.443520000001</v>
      </c>
      <c r="H108" s="172">
        <f t="shared" si="7"/>
        <v>39497.556479999999</v>
      </c>
      <c r="I108" s="172">
        <f>I109+I114+I115</f>
        <v>40306.31033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484.31429000000003</v>
      </c>
      <c r="G109" s="175">
        <f t="shared" si="8"/>
        <v>29514.2297</v>
      </c>
      <c r="H109" s="175">
        <f t="shared" si="8"/>
        <v>28722.7703</v>
      </c>
      <c r="I109" s="175">
        <f t="shared" si="8"/>
        <v>32282.447310000003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84.216189999999997</v>
      </c>
      <c r="G110" s="176">
        <v>3665.3825299999999</v>
      </c>
      <c r="H110" s="176">
        <f>E110-G110</f>
        <v>12168.617470000001</v>
      </c>
      <c r="I110" s="176">
        <v>4636.7903200000001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242.77333999999999</v>
      </c>
      <c r="G111" s="176">
        <v>9540.1414999999997</v>
      </c>
      <c r="H111" s="176">
        <f t="shared" ref="H111:H119" si="9">E111-G111</f>
        <v>6664.8585000000003</v>
      </c>
      <c r="I111" s="176">
        <v>9404.4751300000007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70.001300000000001</v>
      </c>
      <c r="G112" s="176">
        <v>10424.649649999999</v>
      </c>
      <c r="H112" s="176">
        <f t="shared" si="9"/>
        <v>6155.3503500000006</v>
      </c>
      <c r="I112" s="176">
        <v>10558.73245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87.323459999999997</v>
      </c>
      <c r="G113" s="176">
        <v>5884.05602</v>
      </c>
      <c r="H113" s="176">
        <f t="shared" si="9"/>
        <v>3733.94398</v>
      </c>
      <c r="I113" s="176">
        <v>7682.4494100000002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/>
      <c r="G114" s="175">
        <v>5888.0228200000001</v>
      </c>
      <c r="H114" s="175">
        <f>E114-G114</f>
        <v>5933.9771799999999</v>
      </c>
      <c r="I114" s="175">
        <v>6708.2317899999998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79.770830000000004</v>
      </c>
      <c r="G115" s="198">
        <v>1352.191</v>
      </c>
      <c r="H115" s="198">
        <f t="shared" si="9"/>
        <v>4840.8090000000002</v>
      </c>
      <c r="I115" s="198">
        <v>1315.63123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>
        <v>0.104</v>
      </c>
      <c r="G116" s="391">
        <v>35.19267</v>
      </c>
      <c r="H116" s="388">
        <f t="shared" si="9"/>
        <v>343.80732999999998</v>
      </c>
      <c r="I116" s="391">
        <v>9.73888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0.69991000000000003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>
        <v>103.09180000000001</v>
      </c>
      <c r="H118" s="179">
        <f t="shared" si="9"/>
        <v>2896.9081999999999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1.9927199999997356</v>
      </c>
      <c r="G119" s="179">
        <v>51.365699999994831</v>
      </c>
      <c r="H119" s="179">
        <f t="shared" si="9"/>
        <v>-51.365699999994831</v>
      </c>
      <c r="I119" s="179">
        <v>159.8597199999931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H120" si="10">D105+D108+D116+D117++D118+D119</f>
        <v>117261</v>
      </c>
      <c r="E120" s="188">
        <f t="shared" si="10"/>
        <v>127377</v>
      </c>
      <c r="F120" s="381">
        <f t="shared" si="10"/>
        <v>1187.8079299999999</v>
      </c>
      <c r="G120" s="381">
        <f t="shared" si="10"/>
        <v>80420.461769999994</v>
      </c>
      <c r="H120" s="381">
        <f t="shared" si="10"/>
        <v>46956.538230000006</v>
      </c>
      <c r="I120" s="381">
        <f>I105+I108+I116+I117++I118+I119</f>
        <v>67454.30055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139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37</v>
      </c>
      <c r="G140" s="108" t="str">
        <f>G22</f>
        <v>FANGST T.O.M UKE 37</v>
      </c>
      <c r="H140" s="108" t="str">
        <f>H22</f>
        <v>RESTKVOTER UKE 37</v>
      </c>
      <c r="I140" s="108" t="str">
        <f>I22</f>
        <v>FANGST T.O.M. UKE 37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466.97919999999999</v>
      </c>
      <c r="G141" s="200">
        <f t="shared" si="11"/>
        <v>46027.004650000003</v>
      </c>
      <c r="H141" s="200">
        <f t="shared" si="11"/>
        <v>14166.995349999997</v>
      </c>
      <c r="I141" s="200">
        <f t="shared" si="11"/>
        <v>41637.778829999996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297.94231000000002</v>
      </c>
      <c r="G142" s="202">
        <v>40848.746760000002</v>
      </c>
      <c r="H142" s="202">
        <f>E142-G142</f>
        <v>7252.2532399999982</v>
      </c>
      <c r="I142" s="202">
        <v>35740.79221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>
        <v>169.03689</v>
      </c>
      <c r="G143" s="202">
        <v>5178.2578899999999</v>
      </c>
      <c r="H143" s="202">
        <f>E143-G143</f>
        <v>6414.7421100000001</v>
      </c>
      <c r="I143" s="202">
        <v>5896.9866199999997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>
        <v>347.25299999999999</v>
      </c>
      <c r="G145" s="206">
        <v>34406.906070000005</v>
      </c>
      <c r="H145" s="206">
        <f>E145-G145</f>
        <v>9425.0939299999955</v>
      </c>
      <c r="I145" s="206">
        <v>25313.564269999999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H146" si="12">D147+D152+D155</f>
        <v>69702</v>
      </c>
      <c r="E146" s="207">
        <f t="shared" si="12"/>
        <v>66018</v>
      </c>
      <c r="F146" s="208">
        <f t="shared" si="12"/>
        <v>1625.6432500000001</v>
      </c>
      <c r="G146" s="208">
        <f t="shared" si="12"/>
        <v>48666.701209999999</v>
      </c>
      <c r="H146" s="208">
        <f t="shared" si="12"/>
        <v>17351.298790000001</v>
      </c>
      <c r="I146" s="208">
        <f>I147+I152+I155</f>
        <v>45874.368240000003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1319.04413</v>
      </c>
      <c r="G147" s="210">
        <f>G148+G149+G151+G150</f>
        <v>36298.586459999999</v>
      </c>
      <c r="H147" s="210">
        <f>H148+H149+H150+H151</f>
        <v>13560.41354</v>
      </c>
      <c r="I147" s="210">
        <f>I148+I149+I150+I151</f>
        <v>34101.038430000001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339.91556000000003</v>
      </c>
      <c r="G148" s="193">
        <v>8149.1840499999998</v>
      </c>
      <c r="H148" s="193">
        <f>E148-G148</f>
        <v>6573.8159500000002</v>
      </c>
      <c r="I148" s="193">
        <v>7308.8474500000002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259.03377</v>
      </c>
      <c r="G149" s="193">
        <v>10010.96328</v>
      </c>
      <c r="H149" s="193">
        <f>E149-G149</f>
        <v>2281.0367200000001</v>
      </c>
      <c r="I149" s="193">
        <v>8102.18408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263.56279999999998</v>
      </c>
      <c r="G150" s="193">
        <v>8433.9685800000007</v>
      </c>
      <c r="H150" s="193">
        <f>E150-G150</f>
        <v>3656.0314199999993</v>
      </c>
      <c r="I150" s="193">
        <v>11079.02435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456.53199999999998</v>
      </c>
      <c r="G151" s="193">
        <v>9704.47055</v>
      </c>
      <c r="H151" s="193">
        <f>E151-G151</f>
        <v>1049.52945</v>
      </c>
      <c r="I151" s="193">
        <v>7610.9825499999997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/>
      <c r="G152" s="213">
        <v>5761.2713999999996</v>
      </c>
      <c r="H152" s="213">
        <f>H153+H154</f>
        <v>1105.7286000000004</v>
      </c>
      <c r="I152" s="213">
        <v>5838.4817400000002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/>
      <c r="G153" s="193">
        <v>5661.6104999999998</v>
      </c>
      <c r="H153" s="193">
        <f>E153-G153</f>
        <v>705.38950000000023</v>
      </c>
      <c r="I153" s="193">
        <v>5697.3308399999996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99.660899999999856</v>
      </c>
      <c r="H154" s="193">
        <f t="shared" ref="H154:H160" si="13">E154-G154</f>
        <v>400.33910000000014</v>
      </c>
      <c r="I154" s="193">
        <f>I152-I153</f>
        <v>141.15090000000055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306.59912000000003</v>
      </c>
      <c r="G155" s="215">
        <v>6606.8433500000001</v>
      </c>
      <c r="H155" s="215">
        <f t="shared" si="13"/>
        <v>2685.1566499999999</v>
      </c>
      <c r="I155" s="215">
        <v>5934.84807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>
        <v>0.69799999999999995</v>
      </c>
      <c r="G156" s="195">
        <v>20.983360000000001</v>
      </c>
      <c r="H156" s="195">
        <f t="shared" si="13"/>
        <v>123.01664</v>
      </c>
      <c r="I156" s="195">
        <v>12.9992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216.53579999999999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18.413820000000001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28.8765</v>
      </c>
      <c r="H159" s="219">
        <f t="shared" si="13"/>
        <v>271.12349999999998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126.86834000000044</v>
      </c>
      <c r="G160" s="219">
        <v>659.7450000000099</v>
      </c>
      <c r="H160" s="219">
        <f t="shared" si="13"/>
        <v>-659.7450000000099</v>
      </c>
      <c r="I160" s="219">
        <v>976.98825999999826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>D141+D145+D146+D156+D157+D158+D159+D160</f>
        <v>183959</v>
      </c>
      <c r="E162" s="188">
        <f t="shared" ref="E162:H162" si="14">E141+E145+E146+E156+E157+E158+E159+E160</f>
        <v>172738</v>
      </c>
      <c r="F162" s="188">
        <f t="shared" si="14"/>
        <v>2585.8556100000005</v>
      </c>
      <c r="G162" s="188">
        <f t="shared" si="14"/>
        <v>132062.82579000003</v>
      </c>
      <c r="H162" s="188">
        <f t="shared" si="14"/>
        <v>40675.17420999999</v>
      </c>
      <c r="I162" s="188">
        <f>I141+I145+I146+I156+I157+I158+I159+I160</f>
        <v>116032.23460000001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37</v>
      </c>
      <c r="F186" s="108" t="str">
        <f>G22</f>
        <v>FANGST T.O.M UKE 37</v>
      </c>
      <c r="G186" s="168" t="str">
        <f>H22</f>
        <v>RESTKVOTER UKE 37</v>
      </c>
      <c r="H186" s="108" t="str">
        <f>I22</f>
        <v>FANGST T.O.M. UKE 37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6">
        <v>5394</v>
      </c>
      <c r="E187" s="189">
        <v>84.352900000000005</v>
      </c>
      <c r="F187" s="189">
        <v>1430.8372999999999</v>
      </c>
      <c r="G187" s="396">
        <f>D187-F187-F188</f>
        <v>2244.02405</v>
      </c>
      <c r="H187" s="189">
        <v>1365.6801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4"/>
      <c r="E188" s="190">
        <v>45.2881</v>
      </c>
      <c r="F188" s="190">
        <v>1719.1386500000001</v>
      </c>
      <c r="G188" s="397"/>
      <c r="H188" s="190">
        <v>1444.9258400000001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7.2599999999999998E-2</v>
      </c>
      <c r="F189" s="191">
        <v>68.004009999999994</v>
      </c>
      <c r="G189" s="191">
        <f>D189-F189</f>
        <v>131.99599000000001</v>
      </c>
      <c r="H189" s="191">
        <v>97.531350000000003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346.21685000000002</v>
      </c>
      <c r="F190" s="192">
        <f>F191+F192+F193</f>
        <v>7960.2414699999999</v>
      </c>
      <c r="G190" s="192">
        <f>D190-F190</f>
        <v>129.75853000000006</v>
      </c>
      <c r="H190" s="192">
        <f>H191+H192+H193</f>
        <v>7718.14509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233.70490000000001</v>
      </c>
      <c r="F191" s="193">
        <v>4052.1203700000001</v>
      </c>
      <c r="G191" s="193"/>
      <c r="H191" s="193">
        <v>3781.47039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62.479900000000001</v>
      </c>
      <c r="F192" s="193">
        <v>2420.0769599999999</v>
      </c>
      <c r="G192" s="193"/>
      <c r="H192" s="193">
        <v>2444.8279900000002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50.032049999999998</v>
      </c>
      <c r="F193" s="194">
        <v>1488.04414</v>
      </c>
      <c r="G193" s="194"/>
      <c r="H193" s="194">
        <v>1491.84671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7.4999999999999997E-3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475.93045000000006</v>
      </c>
      <c r="F196" s="180">
        <f>F187+F188+F189+F190+F194+F195</f>
        <v>11178.850629999999</v>
      </c>
      <c r="G196" s="180">
        <f>D196-F196</f>
        <v>2576.149370000001</v>
      </c>
      <c r="H196" s="180">
        <f>H187+H188+H189+H190+H194+H195</f>
        <v>10626.29738</v>
      </c>
      <c r="I196" s="103"/>
      <c r="J196" s="302"/>
    </row>
    <row r="197" spans="1:10" ht="15.75" customHeight="1" x14ac:dyDescent="0.35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37</v>
      </c>
      <c r="F215" s="42" t="str">
        <f>G22</f>
        <v>FANGST T.O.M UKE 37</v>
      </c>
      <c r="G215" s="42" t="str">
        <f>H22</f>
        <v>RESTKVOTER UKE 37</v>
      </c>
      <c r="H215" s="42" t="str">
        <f>I22</f>
        <v>FANGST T.O.M. UKE 37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33.084949999999999</v>
      </c>
      <c r="F216" s="266">
        <v>42254.302860000003</v>
      </c>
      <c r="G216" s="266">
        <f>D216-F216</f>
        <v>1124.6971399999966</v>
      </c>
      <c r="H216" s="266">
        <v>29290.501509999998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>
        <v>5.0000000000000001E-3</v>
      </c>
      <c r="F217" s="266">
        <v>28.611750000000001</v>
      </c>
      <c r="G217" s="266">
        <f>D217-F217</f>
        <v>71.388249999999999</v>
      </c>
      <c r="H217" s="266">
        <v>8.6972100000000001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33.089950000000002</v>
      </c>
      <c r="F219" s="268">
        <f>SUM(F216:F218)</f>
        <v>42282.91461</v>
      </c>
      <c r="G219" s="268">
        <f>D219-F219</f>
        <v>1251.0853900000002</v>
      </c>
      <c r="H219" s="268">
        <f>SUM(H216:H218)</f>
        <v>29299.198719999997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37</v>
      </c>
      <c r="F268" s="42" t="str">
        <f>G22</f>
        <v>FANGST T.O.M UKE 37</v>
      </c>
      <c r="G268" s="42" t="str">
        <f>H22</f>
        <v>RESTKVOTER UKE 37</v>
      </c>
      <c r="H268" s="42" t="str">
        <f>I22</f>
        <v>FANGST T.O.M. UKE 37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9">
        <v>1701</v>
      </c>
      <c r="E269" s="164">
        <v>5.7034000000000002</v>
      </c>
      <c r="F269" s="164">
        <v>412.81675000000001</v>
      </c>
      <c r="G269" s="396">
        <f>D269-F269-F270</f>
        <v>384.04386</v>
      </c>
      <c r="H269" s="164">
        <v>526.49306000000001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10"/>
      <c r="E270" s="164">
        <v>6.7778600000000004</v>
      </c>
      <c r="F270" s="164">
        <v>904.13939000000005</v>
      </c>
      <c r="G270" s="411"/>
      <c r="H270" s="164">
        <v>1471.93127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>
        <v>0.17399999999999999</v>
      </c>
      <c r="F271" s="165">
        <v>1.3859999999999999</v>
      </c>
      <c r="G271" s="164">
        <f>D271-F271</f>
        <v>3.6139999999999999</v>
      </c>
      <c r="H271" s="165">
        <v>1.2104200000000001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>
        <v>5.0000000000000001E-3</v>
      </c>
      <c r="F272" s="165">
        <v>2.8128099999999998</v>
      </c>
      <c r="G272" s="164"/>
      <c r="H272" s="165">
        <v>2.0574300000000001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12.660260000000001</v>
      </c>
      <c r="F273" s="166">
        <f>SUM(F269:F272)</f>
        <v>1321.1549499999999</v>
      </c>
      <c r="G273" s="166">
        <f>D273-F273</f>
        <v>384.84505000000013</v>
      </c>
      <c r="H273" s="166">
        <f>H269+H270+H271+H272</f>
        <v>2001.6921800000002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37</v>
      </c>
      <c r="G298" s="326" t="str">
        <f>G22</f>
        <v>FANGST T.O.M UKE 37</v>
      </c>
      <c r="H298" s="326" t="str">
        <f>H22</f>
        <v>RESTKVOTER UKE 37</v>
      </c>
      <c r="I298" s="326" t="str">
        <f>I22</f>
        <v>FANGST T.O.M. UKE 37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57.874269999999996</v>
      </c>
      <c r="G299" s="375">
        <f t="shared" si="15"/>
        <v>11639.762750000002</v>
      </c>
      <c r="H299" s="375">
        <f t="shared" si="15"/>
        <v>9048.2372499999983</v>
      </c>
      <c r="I299" s="375">
        <f>I303+I302+I301+I300</f>
        <v>25499.30975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7199.5742600000003</v>
      </c>
      <c r="H300" s="333">
        <f t="shared" ref="H300:H304" si="16">E300-G300</f>
        <v>4325.4257399999997</v>
      </c>
      <c r="I300" s="333">
        <v>18468.488440000001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1022.5022</v>
      </c>
      <c r="H301" s="333">
        <f>E301-G301</f>
        <v>1977.4978000000001</v>
      </c>
      <c r="I301" s="333">
        <v>1647.3640499999999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30.205269999999999</v>
      </c>
      <c r="G302" s="333">
        <v>1153.2172399999999</v>
      </c>
      <c r="H302" s="333">
        <f t="shared" si="16"/>
        <v>287.78276000000005</v>
      </c>
      <c r="I302" s="333">
        <v>2112.6854600000001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27.669</v>
      </c>
      <c r="G303" s="333">
        <v>2264.4690500000002</v>
      </c>
      <c r="H303" s="333">
        <f t="shared" si="16"/>
        <v>2457.5309499999998</v>
      </c>
      <c r="I303" s="333">
        <v>3270.7718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0.45600000000000002</v>
      </c>
      <c r="G304" s="339">
        <v>2197.1626099999999</v>
      </c>
      <c r="H304" s="339">
        <f t="shared" si="16"/>
        <v>3302.8373900000001</v>
      </c>
      <c r="I304" s="339">
        <v>3879.5622800000001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47.532130000000002</v>
      </c>
      <c r="G305" s="330">
        <f>G307+G306</f>
        <v>2899.23234</v>
      </c>
      <c r="H305" s="330">
        <f>E305-G305</f>
        <v>5100.7676599999995</v>
      </c>
      <c r="I305" s="330">
        <f>I307+I306</f>
        <v>4027.7343599999999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/>
      <c r="G306" s="333">
        <v>10.833780000000001</v>
      </c>
      <c r="H306" s="333"/>
      <c r="I306" s="333">
        <v>538.27876000000003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47.532130000000002</v>
      </c>
      <c r="G307" s="344">
        <v>2888.3985600000001</v>
      </c>
      <c r="H307" s="344"/>
      <c r="I307" s="344">
        <v>3489.4555999999998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>
        <v>1.89E-2</v>
      </c>
      <c r="G308" s="339">
        <v>0.20115</v>
      </c>
      <c r="H308" s="339">
        <f>E308-G308</f>
        <v>9.7988499999999998</v>
      </c>
      <c r="I308" s="339">
        <v>0.59865000000000002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0.86768000000000001</v>
      </c>
      <c r="G309" s="339">
        <v>40.91469</v>
      </c>
      <c r="H309" s="339">
        <f>E309-G309</f>
        <v>-40.91469</v>
      </c>
      <c r="I309" s="339">
        <v>59.632770000000001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106.74898000000002</v>
      </c>
      <c r="G310" s="350">
        <f t="shared" si="17"/>
        <v>16777.273540000002</v>
      </c>
      <c r="H310" s="350">
        <f t="shared" si="17"/>
        <v>17420.726459999994</v>
      </c>
      <c r="I310" s="350">
        <f>I299+I304+I305+I308+I309</f>
        <v>33466.837809999997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37</v>
      </c>
      <c r="F331" s="327" t="str">
        <f>G22</f>
        <v>FANGST T.O.M UKE 37</v>
      </c>
      <c r="G331" s="367" t="str">
        <f>H22</f>
        <v>RESTKVOTER UKE 37</v>
      </c>
      <c r="H331" s="327" t="str">
        <f>I22</f>
        <v>FANGST T.O.M. UKE 37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1831.19598</v>
      </c>
      <c r="G332" s="418">
        <f>D332-F332</f>
        <v>-146.19597999999996</v>
      </c>
      <c r="H332" s="382">
        <f>SUM(H333:H334)</f>
        <v>1914.2534299999998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416"/>
      <c r="E333" s="383"/>
      <c r="F333" s="383">
        <v>1522.5934299999999</v>
      </c>
      <c r="G333" s="419"/>
      <c r="H333" s="383">
        <v>1555.7296899999999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417"/>
      <c r="E334" s="384"/>
      <c r="F334" s="384">
        <v>308.60255000000001</v>
      </c>
      <c r="G334" s="420"/>
      <c r="H334" s="384">
        <v>358.52373999999998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1306.9003</v>
      </c>
      <c r="G335" s="418">
        <f>D335-F335</f>
        <v>-66.900300000000016</v>
      </c>
      <c r="H335" s="382">
        <f>SUM(H336:H337)</f>
        <v>1675.2456500000001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416"/>
      <c r="E336" s="369"/>
      <c r="F336" s="369">
        <v>1060.5186000000001</v>
      </c>
      <c r="G336" s="419"/>
      <c r="H336" s="369">
        <v>1358.1619000000001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417"/>
      <c r="E337" s="369"/>
      <c r="F337" s="369">
        <v>246.3817</v>
      </c>
      <c r="G337" s="420"/>
      <c r="H337" s="369">
        <v>317.08375000000001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415">
        <v>1240</v>
      </c>
      <c r="E338" s="389">
        <f>SUM(E339:E340)</f>
        <v>56.844000000000001</v>
      </c>
      <c r="F338" s="389">
        <f>SUM(F339:F340)</f>
        <v>182.53579999999999</v>
      </c>
      <c r="G338" s="418">
        <f>D338-F338</f>
        <v>1057.4641999999999</v>
      </c>
      <c r="H338" s="389">
        <f>SUM(H339:H340)</f>
        <v>254.71348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416"/>
      <c r="E339" s="369">
        <v>46.474499999999999</v>
      </c>
      <c r="F339" s="369">
        <v>152.42150000000001</v>
      </c>
      <c r="G339" s="419"/>
      <c r="H339" s="369">
        <v>207.42150000000001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417"/>
      <c r="E340" s="385">
        <v>10.3695</v>
      </c>
      <c r="F340" s="385">
        <v>30.1143</v>
      </c>
      <c r="G340" s="420"/>
      <c r="H340" s="385">
        <v>47.291980000000002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56.844000000000001</v>
      </c>
      <c r="F342" s="387">
        <f>F332+F335+F338+F341</f>
        <v>3320.6320799999999</v>
      </c>
      <c r="G342" s="377">
        <f>SUM(G332:G341)</f>
        <v>844.36791999999991</v>
      </c>
      <c r="H342" s="387">
        <f>H332+H335+H338+H341</f>
        <v>3844.2125599999995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37
&amp;"-,Normal"&amp;11(iht. motatte landings- og sluttsedler fra fiskesalgslagene; alle tallstørrelser i hele tonn)&amp;R19.09.2021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2021-09-21T10:55:53Z</dcterms:modified>
</cp:coreProperties>
</file>