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meik\Ukesstatistikk\2024\"/>
    </mc:Choice>
  </mc:AlternateContent>
  <xr:revisionPtr revIDLastSave="0" documentId="13_ncr:1_{A7A10991-15E2-4F55-B8B8-7BAE9A2165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ukesstatistikk!$B$1:$J$425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132" i="1" s="1"/>
  <c r="G61" i="1"/>
  <c r="D423" i="1"/>
  <c r="H422" i="1"/>
  <c r="F422" i="1"/>
  <c r="G422" i="1" s="1"/>
  <c r="E422" i="1"/>
  <c r="H421" i="1"/>
  <c r="F421" i="1"/>
  <c r="E421" i="1"/>
  <c r="H420" i="1"/>
  <c r="F420" i="1"/>
  <c r="E420" i="1"/>
  <c r="H419" i="1"/>
  <c r="F419" i="1"/>
  <c r="G419" i="1" s="1"/>
  <c r="E419" i="1"/>
  <c r="H418" i="1"/>
  <c r="F418" i="1"/>
  <c r="E418" i="1"/>
  <c r="H417" i="1"/>
  <c r="F417" i="1"/>
  <c r="F416" i="1" s="1"/>
  <c r="G416" i="1" s="1"/>
  <c r="E417" i="1"/>
  <c r="H416" i="1"/>
  <c r="E416" i="1"/>
  <c r="H415" i="1"/>
  <c r="F415" i="1"/>
  <c r="E415" i="1"/>
  <c r="H414" i="1"/>
  <c r="F414" i="1"/>
  <c r="F413" i="1" s="1"/>
  <c r="E414" i="1"/>
  <c r="E413" i="1" s="1"/>
  <c r="E423" i="1" s="1"/>
  <c r="H413" i="1"/>
  <c r="H423" i="1" s="1"/>
  <c r="I390" i="1"/>
  <c r="H390" i="1"/>
  <c r="G390" i="1"/>
  <c r="F390" i="1"/>
  <c r="I389" i="1"/>
  <c r="H389" i="1"/>
  <c r="G389" i="1"/>
  <c r="F389" i="1"/>
  <c r="I388" i="1"/>
  <c r="I386" i="1" s="1"/>
  <c r="I391" i="1" s="1"/>
  <c r="G388" i="1"/>
  <c r="F388" i="1"/>
  <c r="I387" i="1"/>
  <c r="G387" i="1"/>
  <c r="F387" i="1"/>
  <c r="F386" i="1" s="1"/>
  <c r="G386" i="1"/>
  <c r="H386" i="1" s="1"/>
  <c r="I385" i="1"/>
  <c r="H385" i="1"/>
  <c r="G385" i="1"/>
  <c r="F385" i="1"/>
  <c r="I384" i="1"/>
  <c r="G384" i="1"/>
  <c r="H384" i="1" s="1"/>
  <c r="F384" i="1"/>
  <c r="I383" i="1"/>
  <c r="H383" i="1"/>
  <c r="G383" i="1"/>
  <c r="F383" i="1"/>
  <c r="F380" i="1" s="1"/>
  <c r="F391" i="1" s="1"/>
  <c r="I382" i="1"/>
  <c r="G382" i="1"/>
  <c r="H382" i="1" s="1"/>
  <c r="F382" i="1"/>
  <c r="I381" i="1"/>
  <c r="H381" i="1"/>
  <c r="G381" i="1"/>
  <c r="F381" i="1"/>
  <c r="I380" i="1"/>
  <c r="G380" i="1"/>
  <c r="G391" i="1" s="1"/>
  <c r="D380" i="1"/>
  <c r="D391" i="1" s="1"/>
  <c r="H372" i="1"/>
  <c r="F372" i="1"/>
  <c r="H354" i="1"/>
  <c r="D354" i="1"/>
  <c r="G354" i="1" s="1"/>
  <c r="H353" i="1"/>
  <c r="G353" i="1"/>
  <c r="F353" i="1"/>
  <c r="E353" i="1"/>
  <c r="H352" i="1"/>
  <c r="F352" i="1"/>
  <c r="G352" i="1" s="1"/>
  <c r="E352" i="1"/>
  <c r="H351" i="1"/>
  <c r="G351" i="1"/>
  <c r="F351" i="1"/>
  <c r="E351" i="1"/>
  <c r="E354" i="1" s="1"/>
  <c r="H350" i="1"/>
  <c r="F350" i="1"/>
  <c r="F354" i="1" s="1"/>
  <c r="E350" i="1"/>
  <c r="D343" i="1"/>
  <c r="D299" i="1"/>
  <c r="H298" i="1"/>
  <c r="G298" i="1"/>
  <c r="F298" i="1"/>
  <c r="E298" i="1"/>
  <c r="H297" i="1"/>
  <c r="F297" i="1"/>
  <c r="E297" i="1"/>
  <c r="H296" i="1"/>
  <c r="H295" i="1" s="1"/>
  <c r="H299" i="1" s="1"/>
  <c r="F296" i="1"/>
  <c r="F295" i="1" s="1"/>
  <c r="E296" i="1"/>
  <c r="E295" i="1"/>
  <c r="E299" i="1" s="1"/>
  <c r="D253" i="1"/>
  <c r="H252" i="1"/>
  <c r="F252" i="1"/>
  <c r="G252" i="1" s="1"/>
  <c r="E252" i="1"/>
  <c r="H251" i="1"/>
  <c r="F251" i="1"/>
  <c r="E251" i="1"/>
  <c r="H250" i="1"/>
  <c r="F250" i="1"/>
  <c r="F249" i="1" s="1"/>
  <c r="E250" i="1"/>
  <c r="H249" i="1"/>
  <c r="H253" i="1" s="1"/>
  <c r="E249" i="1"/>
  <c r="E253" i="1" s="1"/>
  <c r="F207" i="1"/>
  <c r="D207" i="1"/>
  <c r="G207" i="1" s="1"/>
  <c r="H206" i="1"/>
  <c r="F206" i="1"/>
  <c r="G206" i="1" s="1"/>
  <c r="E206" i="1"/>
  <c r="H205" i="1"/>
  <c r="G205" i="1"/>
  <c r="F205" i="1"/>
  <c r="E205" i="1"/>
  <c r="H204" i="1"/>
  <c r="H207" i="1" s="1"/>
  <c r="F204" i="1"/>
  <c r="G204" i="1" s="1"/>
  <c r="E204" i="1"/>
  <c r="E207" i="1" s="1"/>
  <c r="D184" i="1"/>
  <c r="H183" i="1"/>
  <c r="G183" i="1"/>
  <c r="F183" i="1"/>
  <c r="E183" i="1"/>
  <c r="H182" i="1"/>
  <c r="F182" i="1"/>
  <c r="G182" i="1" s="1"/>
  <c r="E182" i="1"/>
  <c r="H181" i="1"/>
  <c r="F181" i="1"/>
  <c r="E181" i="1"/>
  <c r="H180" i="1"/>
  <c r="F180" i="1"/>
  <c r="E180" i="1"/>
  <c r="H179" i="1"/>
  <c r="H178" i="1" s="1"/>
  <c r="F179" i="1"/>
  <c r="F178" i="1" s="1"/>
  <c r="G178" i="1" s="1"/>
  <c r="E179" i="1"/>
  <c r="E178" i="1"/>
  <c r="E184" i="1" s="1"/>
  <c r="H177" i="1"/>
  <c r="G177" i="1"/>
  <c r="F177" i="1"/>
  <c r="E177" i="1"/>
  <c r="H176" i="1"/>
  <c r="F176" i="1"/>
  <c r="E176" i="1"/>
  <c r="H175" i="1"/>
  <c r="F175" i="1"/>
  <c r="E175" i="1"/>
  <c r="D167" i="1"/>
  <c r="D169" i="1" s="1"/>
  <c r="I148" i="1"/>
  <c r="H148" i="1"/>
  <c r="G148" i="1"/>
  <c r="F148" i="1"/>
  <c r="I147" i="1"/>
  <c r="G147" i="1"/>
  <c r="H147" i="1" s="1"/>
  <c r="F147" i="1"/>
  <c r="H146" i="1"/>
  <c r="I145" i="1"/>
  <c r="H145" i="1"/>
  <c r="G145" i="1"/>
  <c r="F145" i="1"/>
  <c r="I144" i="1"/>
  <c r="H144" i="1"/>
  <c r="G144" i="1"/>
  <c r="F144" i="1"/>
  <c r="I143" i="1"/>
  <c r="H143" i="1"/>
  <c r="G143" i="1"/>
  <c r="F143" i="1"/>
  <c r="I142" i="1"/>
  <c r="H142" i="1"/>
  <c r="G142" i="1"/>
  <c r="F142" i="1"/>
  <c r="I141" i="1"/>
  <c r="H141" i="1"/>
  <c r="G141" i="1"/>
  <c r="F141" i="1"/>
  <c r="I140" i="1"/>
  <c r="H140" i="1"/>
  <c r="H139" i="1" s="1"/>
  <c r="G140" i="1"/>
  <c r="G139" i="1" s="1"/>
  <c r="F140" i="1"/>
  <c r="I139" i="1"/>
  <c r="F139" i="1"/>
  <c r="E139" i="1"/>
  <c r="D139" i="1"/>
  <c r="I138" i="1"/>
  <c r="H138" i="1"/>
  <c r="F138" i="1"/>
  <c r="I137" i="1"/>
  <c r="H137" i="1"/>
  <c r="F137" i="1"/>
  <c r="I136" i="1"/>
  <c r="H136" i="1"/>
  <c r="F136" i="1"/>
  <c r="I135" i="1"/>
  <c r="H135" i="1"/>
  <c r="F135" i="1"/>
  <c r="F134" i="1" s="1"/>
  <c r="F133" i="1" s="1"/>
  <c r="I134" i="1"/>
  <c r="I133" i="1" s="1"/>
  <c r="G134" i="1"/>
  <c r="G133" i="1" s="1"/>
  <c r="E134" i="1"/>
  <c r="D134" i="1"/>
  <c r="D133" i="1" s="1"/>
  <c r="D150" i="1" s="1"/>
  <c r="E133" i="1"/>
  <c r="E150" i="1" s="1"/>
  <c r="I132" i="1"/>
  <c r="F132" i="1"/>
  <c r="I131" i="1"/>
  <c r="G131" i="1"/>
  <c r="H131" i="1" s="1"/>
  <c r="F131" i="1"/>
  <c r="I130" i="1"/>
  <c r="H130" i="1"/>
  <c r="G130" i="1"/>
  <c r="F130" i="1"/>
  <c r="F128" i="1" s="1"/>
  <c r="F150" i="1" s="1"/>
  <c r="I129" i="1"/>
  <c r="I128" i="1" s="1"/>
  <c r="I150" i="1" s="1"/>
  <c r="G129" i="1"/>
  <c r="G128" i="1" s="1"/>
  <c r="F129" i="1"/>
  <c r="E128" i="1"/>
  <c r="D128" i="1"/>
  <c r="C126" i="1"/>
  <c r="I106" i="1"/>
  <c r="H106" i="1"/>
  <c r="G106" i="1"/>
  <c r="F106" i="1"/>
  <c r="I105" i="1"/>
  <c r="G105" i="1"/>
  <c r="H105" i="1" s="1"/>
  <c r="F105" i="1"/>
  <c r="I104" i="1"/>
  <c r="H104" i="1"/>
  <c r="G104" i="1"/>
  <c r="F104" i="1"/>
  <c r="I103" i="1"/>
  <c r="G103" i="1"/>
  <c r="H103" i="1" s="1"/>
  <c r="F103" i="1"/>
  <c r="I102" i="1"/>
  <c r="H102" i="1"/>
  <c r="G102" i="1"/>
  <c r="F102" i="1"/>
  <c r="I101" i="1"/>
  <c r="G101" i="1"/>
  <c r="H101" i="1" s="1"/>
  <c r="F101" i="1"/>
  <c r="I100" i="1"/>
  <c r="H100" i="1"/>
  <c r="G100" i="1"/>
  <c r="F100" i="1"/>
  <c r="I99" i="1"/>
  <c r="G99" i="1"/>
  <c r="H99" i="1" s="1"/>
  <c r="F99" i="1"/>
  <c r="I98" i="1"/>
  <c r="H98" i="1"/>
  <c r="G98" i="1"/>
  <c r="F98" i="1"/>
  <c r="I97" i="1"/>
  <c r="I96" i="1" s="1"/>
  <c r="I95" i="1" s="1"/>
  <c r="G97" i="1"/>
  <c r="H97" i="1" s="1"/>
  <c r="F97" i="1"/>
  <c r="F96" i="1" s="1"/>
  <c r="F95" i="1" s="1"/>
  <c r="E96" i="1"/>
  <c r="E95" i="1" s="1"/>
  <c r="E107" i="1" s="1"/>
  <c r="D96" i="1"/>
  <c r="D95" i="1"/>
  <c r="I94" i="1"/>
  <c r="I92" i="1" s="1"/>
  <c r="I107" i="1" s="1"/>
  <c r="G94" i="1"/>
  <c r="H94" i="1" s="1"/>
  <c r="H92" i="1" s="1"/>
  <c r="F94" i="1"/>
  <c r="I93" i="1"/>
  <c r="H93" i="1"/>
  <c r="G93" i="1"/>
  <c r="F93" i="1"/>
  <c r="G92" i="1"/>
  <c r="F92" i="1"/>
  <c r="E92" i="1"/>
  <c r="D92" i="1"/>
  <c r="D107" i="1" s="1"/>
  <c r="C89" i="1"/>
  <c r="H85" i="1"/>
  <c r="F85" i="1"/>
  <c r="D85" i="1"/>
  <c r="G60" i="1"/>
  <c r="H55" i="1"/>
  <c r="F55" i="1"/>
  <c r="G55" i="1" s="1"/>
  <c r="E55" i="1"/>
  <c r="I43" i="1"/>
  <c r="G43" i="1"/>
  <c r="H43" i="1" s="1"/>
  <c r="F43" i="1"/>
  <c r="H42" i="1"/>
  <c r="I41" i="1"/>
  <c r="G41" i="1"/>
  <c r="H41" i="1" s="1"/>
  <c r="F41" i="1"/>
  <c r="I40" i="1"/>
  <c r="H40" i="1"/>
  <c r="G40" i="1"/>
  <c r="F40" i="1"/>
  <c r="I39" i="1"/>
  <c r="G39" i="1"/>
  <c r="H39" i="1" s="1"/>
  <c r="F39" i="1"/>
  <c r="I38" i="1"/>
  <c r="H38" i="1"/>
  <c r="G38" i="1"/>
  <c r="F38" i="1"/>
  <c r="I37" i="1"/>
  <c r="G37" i="1"/>
  <c r="H37" i="1" s="1"/>
  <c r="F37" i="1"/>
  <c r="I36" i="1"/>
  <c r="H36" i="1"/>
  <c r="G36" i="1"/>
  <c r="F36" i="1"/>
  <c r="I35" i="1"/>
  <c r="I34" i="1" s="1"/>
  <c r="G35" i="1"/>
  <c r="G34" i="1" s="1"/>
  <c r="F35" i="1"/>
  <c r="F34" i="1" s="1"/>
  <c r="E35" i="1"/>
  <c r="D34" i="1"/>
  <c r="I33" i="1"/>
  <c r="H33" i="1"/>
  <c r="G33" i="1"/>
  <c r="F33" i="1"/>
  <c r="I32" i="1"/>
  <c r="F32" i="1"/>
  <c r="I31" i="1"/>
  <c r="G31" i="1"/>
  <c r="H31" i="1" s="1"/>
  <c r="F31" i="1"/>
  <c r="I30" i="1"/>
  <c r="G30" i="1"/>
  <c r="H30" i="1" s="1"/>
  <c r="F30" i="1"/>
  <c r="I29" i="1"/>
  <c r="G29" i="1"/>
  <c r="H29" i="1" s="1"/>
  <c r="F29" i="1"/>
  <c r="F27" i="1" s="1"/>
  <c r="I28" i="1"/>
  <c r="G28" i="1"/>
  <c r="F28" i="1"/>
  <c r="E27" i="1"/>
  <c r="D27" i="1"/>
  <c r="E26" i="1"/>
  <c r="D26" i="1"/>
  <c r="D44" i="1" s="1"/>
  <c r="I25" i="1"/>
  <c r="H25" i="1"/>
  <c r="H23" i="1" s="1"/>
  <c r="G25" i="1"/>
  <c r="F25" i="1"/>
  <c r="I24" i="1"/>
  <c r="I23" i="1" s="1"/>
  <c r="H24" i="1"/>
  <c r="G24" i="1"/>
  <c r="F24" i="1"/>
  <c r="F23" i="1" s="1"/>
  <c r="G23" i="1"/>
  <c r="E23" i="1"/>
  <c r="E44" i="1" s="1"/>
  <c r="D23" i="1"/>
  <c r="H16" i="1"/>
  <c r="F16" i="1"/>
  <c r="D16" i="1"/>
  <c r="H134" i="1" l="1"/>
  <c r="H133" i="1" s="1"/>
  <c r="G150" i="1"/>
  <c r="I27" i="1"/>
  <c r="G27" i="1"/>
  <c r="G32" i="1"/>
  <c r="H32" i="1" s="1"/>
  <c r="H28" i="1"/>
  <c r="H35" i="1"/>
  <c r="G249" i="1"/>
  <c r="F253" i="1"/>
  <c r="G253" i="1" s="1"/>
  <c r="H96" i="1"/>
  <c r="H95" i="1" s="1"/>
  <c r="I26" i="1"/>
  <c r="I44" i="1" s="1"/>
  <c r="F299" i="1"/>
  <c r="G295" i="1"/>
  <c r="H107" i="1"/>
  <c r="F26" i="1"/>
  <c r="F107" i="1"/>
  <c r="G299" i="1"/>
  <c r="F44" i="1"/>
  <c r="H34" i="1"/>
  <c r="G26" i="1"/>
  <c r="G44" i="1" s="1"/>
  <c r="F184" i="1"/>
  <c r="G184" i="1" s="1"/>
  <c r="F423" i="1"/>
  <c r="G413" i="1"/>
  <c r="H184" i="1"/>
  <c r="H380" i="1"/>
  <c r="H391" i="1" s="1"/>
  <c r="G423" i="1"/>
  <c r="G96" i="1"/>
  <c r="G95" i="1" s="1"/>
  <c r="G107" i="1" s="1"/>
  <c r="H129" i="1"/>
  <c r="H128" i="1" s="1"/>
  <c r="G350" i="1"/>
  <c r="G175" i="1"/>
  <c r="H150" i="1" l="1"/>
  <c r="H27" i="1"/>
  <c r="H26" i="1" s="1"/>
  <c r="H44" i="1" s="1"/>
</calcChain>
</file>

<file path=xl/sharedStrings.xml><?xml version="1.0" encoding="utf-8"?>
<sst xmlns="http://schemas.openxmlformats.org/spreadsheetml/2006/main" count="359" uniqueCount="151">
  <si>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</si>
  <si>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</si>
  <si>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</si>
  <si>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</si>
  <si>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</si>
  <si>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</si>
  <si>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</si>
  <si>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</si>
  <si>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</si>
  <si>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</si>
  <si>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</si>
  <si>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</si>
  <si>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</si>
  <si>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</si>
  <si>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</si>
  <si>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</si>
  <si>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</si>
  <si>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</si>
  <si>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</si>
  <si>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</si>
  <si>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</si>
  <si>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</si>
  <si>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</si>
  <si>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</si>
  <si>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</si>
  <si>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</si>
  <si>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</si>
  <si>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</si>
  <si>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</si>
  <si>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</si>
  <si>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</si>
  <si>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</si>
  <si>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</si>
  <si>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</si>
  <si>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</si>
  <si>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</si>
  <si>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</si>
  <si>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</si>
  <si>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</si>
  <si>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</si>
  <si>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</si>
  <si>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</si>
  <si>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</si>
  <si>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</si>
  <si>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</si>
  <si>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</si>
  <si>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</si>
  <si>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</si>
  <si>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</si>
  <si>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</si>
  <si>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</si>
  <si>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</si>
  <si>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</si>
  <si>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</si>
  <si>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</si>
  <si>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</si>
  <si>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</si>
  <si>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</si>
  <si>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</si>
  <si>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</si>
  <si>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</si>
  <si>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</si>
  <si>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</si>
  <si>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</si>
  <si>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</si>
  <si>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</si>
  <si>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</si>
  <si>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</si>
  <si>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</si>
  <si>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</si>
  <si>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</si>
  <si>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</si>
  <si>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</si>
  <si>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</si>
  <si>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</si>
  <si>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</si>
  <si>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</si>
  <si>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</si>
  <si>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</si>
  <si>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</si>
  <si>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</si>
  <si>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</si>
  <si>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</si>
  <si>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</si>
  <si>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</si>
  <si>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</si>
  <si>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</si>
  <si>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</si>
  <si>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</si>
  <si>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</si>
  <si>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</si>
  <si>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</si>
  <si>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</si>
  <si>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</si>
  <si>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</si>
  <si>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</si>
  <si>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</si>
  <si>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</si>
  <si>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</si>
  <si>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</si>
  <si>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</si>
  <si>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</si>
  <si>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</si>
  <si>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</si>
  <si>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</si>
  <si>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</si>
  <si>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</si>
  <si>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</si>
  <si>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</si>
  <si>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</si>
  <si>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</si>
  <si>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</si>
  <si>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</si>
  <si>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</si>
  <si>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</si>
  <si>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</si>
  <si>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</si>
  <si>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</si>
  <si>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</si>
  <si>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</si>
  <si>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AV TORSK, HYSE, SEI, BLÅKVEITE, SNABELUER, LANGE, BROSME OG REKER I 2024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</si>
  <si>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</si>
  <si>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r>
      <t xml:space="preserve">2 </t>
    </r>
    <r>
      <rPr>
        <sz val="9"/>
        <rFont val="Calibri"/>
        <family val="2"/>
      </rPr>
      <t>14 630 tonn i et direktefiske etter snabeluer og 1 100 tonn til dekning av bifangst</t>
    </r>
  </si>
  <si>
    <t>Fartøy over 28 meter største lengde</t>
  </si>
  <si>
    <t>Fartøy under 28 meter største lengde</t>
  </si>
  <si>
    <r>
      <t xml:space="preserve">3 </t>
    </r>
    <r>
      <rPr>
        <sz val="9"/>
        <rFont val="Calibri"/>
        <family val="2"/>
      </rPr>
      <t xml:space="preserve">2 877 tonn i Fiskevernsonen ved Svalbard og 4 139 tonn i internasjonalt farvann i Norskehavet. I tillegg er det avsatt 1 000 tonn snabeluer til EU-fartøys fiske. </t>
    </r>
  </si>
  <si>
    <t>Sverige</t>
  </si>
  <si>
    <t>Bifangst av torsk i loddefisket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</si>
  <si>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4 491 tonn avsatt til rekrutteringsordningen</t>
    </r>
  </si>
  <si>
    <t>4  Kvoter justert for kvotefleksibilitet, dvs. kvoteoverføringer fra 2023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</si>
  <si>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1. juli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</si>
  <si>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1 222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</si>
  <si>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2023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</si>
  <si>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624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</si>
  <si>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2023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</si>
  <si>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2023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</si>
  <si>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er foreløpig ikke justert for kvotefleksibilitet, dvs. kvoteoverføringer fra 2023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</si>
  <si>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245 tonn, er trukket ut fra norsk kvote</t>
    </r>
  </si>
  <si>
    <t xml:space="preserve">  Av den norske kvoten er det avsatt 13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</si>
  <si>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2 843 tonn er overført fra ubenyttet tredjelandskvoter fra NØS til norsk totalkvote, hvorav 1000 tonn til åpen gruppe , 1000 tonn til fartøy i lukket gruppe med hjemmelslengde  under 11 meter og 843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</si>
  <si>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568 tonn er overført fra ubenyttet tredjelandskvoter fra Norges økonomiske sone til norsk totalkvote</t>
    </r>
  </si>
  <si>
    <r>
      <t xml:space="preserve">1 </t>
    </r>
    <r>
      <rPr>
        <sz val="9"/>
        <rFont val="Calibri"/>
        <family val="2"/>
      </rPr>
      <t xml:space="preserve">Periodekvote første periode: 3 500 tonn, periodekvote andre periode: 2 300 tonn, bifangstavsetning: 534 tonn </t>
    </r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</si>
  <si>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</si>
  <si>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2 Registrert rekreasjonsfiske utgjør 60 tonn, men det legges til grunn at hele avsetningen tas</t>
  </si>
  <si>
    <t>4 Registrert rekreasjonsfiske utgjør 483 tonn, men det legges til grunn at hele avsetningen tas</t>
  </si>
  <si>
    <t>3 Registrert rekreasjonsfiske utgjør 861 tonn, men det legges til grunn at hele avsetningen tas</t>
  </si>
  <si>
    <t>FANGST UKE 37</t>
  </si>
  <si>
    <t>FANGST T.O.M UKE 37</t>
  </si>
  <si>
    <t>RESTKVOTER UKE 37</t>
  </si>
  <si>
    <t>FANGST T.O.M UKE 37 2023</t>
  </si>
  <si>
    <r>
      <t>3</t>
    </r>
    <r>
      <rPr>
        <sz val="9"/>
        <color indexed="8"/>
        <rFont val="Calibri"/>
        <family val="2"/>
      </rPr>
      <t xml:space="preserve"> Det er fisket 5 165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</si>
</sst>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wrapText="1"/>
    </xf>
    <xf numFmtId="0" fontId="28" fillId="0" borderId="0" xfId="0" applyFont="1"/>
    <xf numFmtId="0" fontId="29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left" wrapText="1"/>
    </xf>
    <xf numFmtId="0" fontId="3" fillId="0" borderId="33" xfId="0" applyFont="1" applyBorder="1" applyAlignment="1">
      <alignment horizontal="left" vertical="top" wrapText="1"/>
    </xf>
    <xf numFmtId="0" fontId="27" fillId="0" borderId="47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10"/>
  <sheetViews>
    <sheetView showGridLines="0" tabSelected="1" showRuler="0" view="pageLayout" zoomScale="85" zoomScaleNormal="85" zoomScaleSheetLayoutView="100" zoomScalePageLayoutView="85" workbookViewId="0">
      <selection activeCell="E20" sqref="E20"/>
    </sheetView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303" t="s">
        <v>120</v>
      </c>
      <c r="C2" s="304"/>
      <c r="D2" s="304"/>
      <c r="E2" s="304"/>
      <c r="F2" s="304"/>
      <c r="G2" s="304"/>
      <c r="H2" s="304"/>
      <c r="I2" s="304"/>
      <c r="J2" s="305"/>
    </row>
    <row r="3" spans="1:10" ht="14.85" customHeight="1" x14ac:dyDescent="0.25">
      <c r="A3" s="1"/>
      <c r="B3" s="1"/>
      <c r="C3" s="1" t="s">
        <v>115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115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115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115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115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9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6"/>
      <c r="C9" s="307"/>
      <c r="D9" s="307"/>
      <c r="E9" s="307"/>
      <c r="F9" s="307"/>
      <c r="G9" s="307"/>
      <c r="H9" s="307"/>
      <c r="I9" s="307"/>
      <c r="J9" s="308"/>
    </row>
    <row r="10" spans="1:10" ht="12" customHeight="1" x14ac:dyDescent="0.25">
      <c r="A10" s="1"/>
      <c r="B10" s="254"/>
      <c r="C10" s="1"/>
      <c r="D10" s="1"/>
      <c r="E10" s="1"/>
      <c r="F10" s="1"/>
      <c r="G10" s="1"/>
      <c r="H10" s="1"/>
      <c r="I10" s="1"/>
      <c r="J10" s="120"/>
    </row>
    <row r="11" spans="1:10" ht="14.1" customHeight="1" x14ac:dyDescent="0.25">
      <c r="A11" s="156"/>
      <c r="B11" s="52"/>
      <c r="C11" s="298" t="s">
        <v>1</v>
      </c>
      <c r="D11" s="299"/>
      <c r="E11" s="298" t="s">
        <v>2</v>
      </c>
      <c r="F11" s="299"/>
      <c r="G11" s="298" t="s">
        <v>3</v>
      </c>
      <c r="H11" s="299"/>
      <c r="I11" s="178"/>
      <c r="J11" s="244"/>
    </row>
    <row r="12" spans="1:10" ht="14.1" customHeight="1" x14ac:dyDescent="0.25">
      <c r="A12" s="1"/>
      <c r="B12" s="254"/>
      <c r="C12" s="99"/>
      <c r="D12" s="99"/>
      <c r="E12" s="99" t="s">
        <v>4</v>
      </c>
      <c r="F12" s="114">
        <v>62439</v>
      </c>
      <c r="G12" s="115" t="s">
        <v>5</v>
      </c>
      <c r="H12" s="114">
        <v>16997</v>
      </c>
      <c r="I12" s="178"/>
      <c r="J12" s="244"/>
    </row>
    <row r="13" spans="1:10" ht="15.75" customHeight="1" x14ac:dyDescent="0.25">
      <c r="A13" s="1"/>
      <c r="B13" s="254"/>
      <c r="C13" s="115" t="s">
        <v>6</v>
      </c>
      <c r="D13" s="117">
        <v>212124</v>
      </c>
      <c r="E13" s="115" t="s">
        <v>7</v>
      </c>
      <c r="F13" s="117">
        <v>134682</v>
      </c>
      <c r="G13" s="115" t="s">
        <v>8</v>
      </c>
      <c r="H13" s="117">
        <v>95779</v>
      </c>
      <c r="I13" s="178"/>
      <c r="J13" s="244"/>
    </row>
    <row r="14" spans="1:10" ht="14.25" customHeight="1" x14ac:dyDescent="0.25">
      <c r="A14" s="1"/>
      <c r="B14" s="254"/>
      <c r="C14" s="115" t="s">
        <v>9</v>
      </c>
      <c r="D14" s="117">
        <v>200124</v>
      </c>
      <c r="E14" s="115" t="s">
        <v>10</v>
      </c>
      <c r="F14" s="117">
        <v>17846</v>
      </c>
      <c r="G14" s="115" t="s">
        <v>11</v>
      </c>
      <c r="H14" s="117">
        <v>13074</v>
      </c>
      <c r="I14" s="178"/>
      <c r="J14" s="244"/>
    </row>
    <row r="15" spans="1:10" ht="15.75" customHeight="1" x14ac:dyDescent="0.25">
      <c r="A15" s="1"/>
      <c r="B15" s="254"/>
      <c r="C15" s="115" t="s">
        <v>74</v>
      </c>
      <c r="D15" s="117">
        <v>62179</v>
      </c>
      <c r="E15" s="147"/>
      <c r="F15" s="166"/>
      <c r="G15" s="165" t="s">
        <v>12</v>
      </c>
      <c r="H15" s="291">
        <v>8832</v>
      </c>
      <c r="I15" s="178"/>
      <c r="J15" s="244"/>
    </row>
    <row r="16" spans="1:10" ht="14.1" customHeight="1" x14ac:dyDescent="0.25">
      <c r="A16" s="1"/>
      <c r="B16" s="254"/>
      <c r="C16" s="177" t="s">
        <v>13</v>
      </c>
      <c r="D16" s="189">
        <f>SUM(D13:D15)</f>
        <v>474427</v>
      </c>
      <c r="E16" s="177" t="s">
        <v>14</v>
      </c>
      <c r="F16" s="189">
        <f>SUM(F12:F15)</f>
        <v>214967</v>
      </c>
      <c r="G16" s="177" t="s">
        <v>7</v>
      </c>
      <c r="H16" s="189">
        <f>SUM(H12:H15)</f>
        <v>134682</v>
      </c>
      <c r="J16" s="244"/>
    </row>
    <row r="17" spans="1:10" ht="30" customHeight="1" x14ac:dyDescent="0.25">
      <c r="A17" s="101"/>
      <c r="B17" s="24"/>
      <c r="C17" s="302" t="s">
        <v>139</v>
      </c>
      <c r="D17" s="302"/>
      <c r="E17" s="302"/>
      <c r="F17" s="302"/>
      <c r="G17" s="302"/>
      <c r="H17" s="302"/>
      <c r="I17" s="101"/>
      <c r="J17" s="157"/>
    </row>
    <row r="18" spans="1:10" ht="15" customHeight="1" x14ac:dyDescent="0.25">
      <c r="A18" s="1"/>
      <c r="B18" s="241"/>
      <c r="C18" s="272"/>
      <c r="D18" s="272"/>
      <c r="E18" s="109"/>
      <c r="F18" s="272"/>
      <c r="G18" s="272"/>
      <c r="H18" s="272"/>
      <c r="I18" s="272"/>
      <c r="J18" s="184"/>
    </row>
    <row r="19" spans="1:10" ht="15" customHeight="1" x14ac:dyDescent="0.25">
      <c r="A19" s="1"/>
      <c r="B19" s="254"/>
      <c r="C19" s="258"/>
      <c r="D19" s="258"/>
      <c r="E19" s="275"/>
      <c r="F19" s="258"/>
      <c r="G19" s="258"/>
      <c r="H19" s="258"/>
      <c r="I19" s="258"/>
      <c r="J19" s="3"/>
    </row>
    <row r="20" spans="1:10" ht="15" customHeight="1" x14ac:dyDescent="0.25">
      <c r="A20" s="1"/>
      <c r="B20" s="254"/>
      <c r="C20" s="18" t="s">
        <v>15</v>
      </c>
      <c r="D20" s="258"/>
      <c r="E20" s="275"/>
      <c r="F20" s="258"/>
      <c r="G20" s="258"/>
      <c r="H20" s="202"/>
      <c r="I20" s="258"/>
      <c r="J20" s="3"/>
    </row>
    <row r="21" spans="1:10" ht="12" customHeight="1" x14ac:dyDescent="0.25">
      <c r="A21" s="1"/>
      <c r="B21" s="254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2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146</v>
      </c>
      <c r="G22" s="68" t="s">
        <v>147</v>
      </c>
      <c r="H22" s="68" t="s">
        <v>148</v>
      </c>
      <c r="I22" s="68" t="s">
        <v>149</v>
      </c>
      <c r="J22" s="280"/>
    </row>
    <row r="23" spans="1:10" ht="14.1" customHeight="1" x14ac:dyDescent="0.25">
      <c r="A23" s="1"/>
      <c r="B23" s="254"/>
      <c r="C23" s="16" t="s">
        <v>19</v>
      </c>
      <c r="D23" s="28">
        <f>D24+D25</f>
        <v>62439</v>
      </c>
      <c r="E23" s="28">
        <f>E24+E25</f>
        <v>60812</v>
      </c>
      <c r="F23" s="28">
        <f t="shared" ref="F23:I23" si="0">F25+F24</f>
        <v>466.31324999999998</v>
      </c>
      <c r="G23" s="28">
        <f t="shared" si="0"/>
        <v>39205.845560000002</v>
      </c>
      <c r="H23" s="11">
        <f t="shared" si="0"/>
        <v>21606.154439999998</v>
      </c>
      <c r="I23" s="11">
        <f t="shared" si="0"/>
        <v>56477.258760000004</v>
      </c>
      <c r="J23" s="244"/>
    </row>
    <row r="24" spans="1:10" ht="14.1" customHeight="1" x14ac:dyDescent="0.25">
      <c r="A24" s="1"/>
      <c r="B24" s="254"/>
      <c r="C24" s="44" t="s">
        <v>20</v>
      </c>
      <c r="D24" s="45">
        <v>61689</v>
      </c>
      <c r="E24" s="45">
        <v>60042</v>
      </c>
      <c r="F24" s="23">
        <f>466.27275</f>
        <v>466.27274999999997</v>
      </c>
      <c r="G24" s="23">
        <f>38677.24727</f>
        <v>38677.24727</v>
      </c>
      <c r="H24" s="23">
        <f>E24-G24</f>
        <v>21364.75273</v>
      </c>
      <c r="I24" s="23">
        <f>56077.11791</f>
        <v>56077.117910000001</v>
      </c>
      <c r="J24" s="244"/>
    </row>
    <row r="25" spans="1:10" ht="14.1" customHeight="1" x14ac:dyDescent="0.25">
      <c r="A25" s="1"/>
      <c r="B25" s="254"/>
      <c r="C25" s="48" t="s">
        <v>21</v>
      </c>
      <c r="D25" s="49">
        <v>750</v>
      </c>
      <c r="E25" s="49">
        <v>770</v>
      </c>
      <c r="F25" s="171">
        <f>0.0405</f>
        <v>4.0500000000000001E-2</v>
      </c>
      <c r="G25" s="23">
        <f>528.59829</f>
        <v>528.59829000000002</v>
      </c>
      <c r="H25" s="23">
        <f>E25-G25</f>
        <v>241.40170999999998</v>
      </c>
      <c r="I25" s="23">
        <f>400.14085</f>
        <v>400.14085</v>
      </c>
      <c r="J25" s="244"/>
    </row>
    <row r="26" spans="1:10" ht="14.1" customHeight="1" x14ac:dyDescent="0.25">
      <c r="A26" s="1"/>
      <c r="B26" s="254"/>
      <c r="C26" s="16" t="s">
        <v>22</v>
      </c>
      <c r="D26" s="28">
        <f>D27+D33+D34</f>
        <v>139173</v>
      </c>
      <c r="E26" s="28">
        <f>E27+E33+E34</f>
        <v>144874</v>
      </c>
      <c r="F26" s="28">
        <f t="shared" ref="F26:I26" si="1">F34+F33+F27</f>
        <v>324.64899999999994</v>
      </c>
      <c r="G26" s="11">
        <f t="shared" si="1"/>
        <v>124610.12307000002</v>
      </c>
      <c r="H26" s="11">
        <f t="shared" si="1"/>
        <v>20263.876929999995</v>
      </c>
      <c r="I26" s="11">
        <f t="shared" si="1"/>
        <v>174925.91011999999</v>
      </c>
      <c r="J26" s="244"/>
    </row>
    <row r="27" spans="1:10" ht="15" customHeight="1" x14ac:dyDescent="0.25">
      <c r="A27" s="51"/>
      <c r="B27" s="53"/>
      <c r="C27" s="56" t="s">
        <v>23</v>
      </c>
      <c r="D27" s="58">
        <f>D28+D29+D30+D31+D32</f>
        <v>108142</v>
      </c>
      <c r="E27" s="58">
        <f>E28+E29+E30+E31+E32</f>
        <v>112978</v>
      </c>
      <c r="F27" s="132">
        <f>F28+F29+F30+F31+F32</f>
        <v>284.51376999999997</v>
      </c>
      <c r="G27" s="132">
        <f t="shared" ref="G27:I27" si="2">G28+G29+G30+G31+G32</f>
        <v>101548.72189000002</v>
      </c>
      <c r="H27" s="132">
        <f t="shared" si="2"/>
        <v>11429.278109999996</v>
      </c>
      <c r="I27" s="132">
        <f t="shared" si="2"/>
        <v>138794.45650999999</v>
      </c>
      <c r="J27" s="244"/>
    </row>
    <row r="28" spans="1:10" ht="14.1" customHeight="1" x14ac:dyDescent="0.25">
      <c r="A28" s="197"/>
      <c r="B28" s="182"/>
      <c r="C28" s="62" t="s">
        <v>24</v>
      </c>
      <c r="D28" s="63">
        <v>26791</v>
      </c>
      <c r="E28" s="63">
        <v>28630</v>
      </c>
      <c r="F28" s="203">
        <f>59.89926</f>
        <v>59.899259999999998</v>
      </c>
      <c r="G28" s="127">
        <f>26414.98082 - F56</f>
        <v>25796.980820000001</v>
      </c>
      <c r="H28" s="127">
        <f t="shared" ref="H28:H40" si="3">E28-G28</f>
        <v>2833.0191799999993</v>
      </c>
      <c r="I28" s="127">
        <f>37134.57058 - H56</f>
        <v>36412.57058</v>
      </c>
      <c r="J28" s="65"/>
    </row>
    <row r="29" spans="1:10" ht="14.1" customHeight="1" x14ac:dyDescent="0.25">
      <c r="A29" s="197"/>
      <c r="B29" s="182"/>
      <c r="C29" s="62" t="s">
        <v>25</v>
      </c>
      <c r="D29" s="63">
        <v>28753</v>
      </c>
      <c r="E29" s="63">
        <v>29665</v>
      </c>
      <c r="F29" s="127">
        <f>141.2557</f>
        <v>141.25569999999999</v>
      </c>
      <c r="G29" s="127">
        <f>28540.70905 - F57</f>
        <v>27598.709050000001</v>
      </c>
      <c r="H29" s="127">
        <f t="shared" si="3"/>
        <v>2066.2909499999987</v>
      </c>
      <c r="I29" s="127">
        <f>39273.50869 - H57</f>
        <v>37671.508690000002</v>
      </c>
      <c r="J29" s="65"/>
    </row>
    <row r="30" spans="1:10" ht="14.1" customHeight="1" x14ac:dyDescent="0.25">
      <c r="A30" s="197"/>
      <c r="B30" s="182"/>
      <c r="C30" s="62" t="s">
        <v>26</v>
      </c>
      <c r="D30" s="63">
        <v>25789</v>
      </c>
      <c r="E30" s="63">
        <v>27244</v>
      </c>
      <c r="F30" s="127">
        <f>18.88007</f>
        <v>18.88007</v>
      </c>
      <c r="G30" s="127">
        <f>26809.50325 - F58</f>
        <v>25672.503250000002</v>
      </c>
      <c r="H30" s="127">
        <f t="shared" si="3"/>
        <v>1571.4967499999984</v>
      </c>
      <c r="I30" s="127">
        <f>37242.16807 - H58</f>
        <v>34878.16807</v>
      </c>
      <c r="J30" s="65"/>
    </row>
    <row r="31" spans="1:10" ht="14.1" customHeight="1" x14ac:dyDescent="0.25">
      <c r="A31" s="197"/>
      <c r="B31" s="182"/>
      <c r="C31" s="62" t="s">
        <v>27</v>
      </c>
      <c r="D31" s="63">
        <v>18937</v>
      </c>
      <c r="E31" s="63">
        <v>19339</v>
      </c>
      <c r="F31" s="127">
        <f>64.47874</f>
        <v>64.478740000000002</v>
      </c>
      <c r="G31" s="127">
        <f>19783.52877 - F59</f>
        <v>18828.528770000001</v>
      </c>
      <c r="H31" s="127">
        <f t="shared" si="3"/>
        <v>510.4712299999992</v>
      </c>
      <c r="I31" s="127">
        <f>25144.20917 - H59</f>
        <v>24016.209169999998</v>
      </c>
      <c r="J31" s="65"/>
    </row>
    <row r="32" spans="1:10" ht="14.1" customHeight="1" x14ac:dyDescent="0.25">
      <c r="A32" s="197"/>
      <c r="B32" s="182"/>
      <c r="C32" s="62" t="s">
        <v>28</v>
      </c>
      <c r="D32" s="63">
        <v>7872</v>
      </c>
      <c r="E32" s="63">
        <v>8100</v>
      </c>
      <c r="F32" s="127">
        <f>E55</f>
        <v>0</v>
      </c>
      <c r="G32" s="127">
        <f>F55</f>
        <v>3652</v>
      </c>
      <c r="H32" s="127">
        <f t="shared" si="3"/>
        <v>4448</v>
      </c>
      <c r="I32" s="127">
        <f>H55</f>
        <v>5816</v>
      </c>
      <c r="J32" s="65"/>
    </row>
    <row r="33" spans="1:13" ht="14.1" customHeight="1" x14ac:dyDescent="0.25">
      <c r="A33" s="66"/>
      <c r="B33" s="53"/>
      <c r="C33" s="56" t="s">
        <v>29</v>
      </c>
      <c r="D33" s="58">
        <v>16997</v>
      </c>
      <c r="E33" s="58">
        <v>16859</v>
      </c>
      <c r="F33" s="132">
        <f>0.22774</f>
        <v>0.22774</v>
      </c>
      <c r="G33" s="132">
        <f>10999.95338</f>
        <v>10999.953380000001</v>
      </c>
      <c r="H33" s="132">
        <f t="shared" si="3"/>
        <v>5859.0466199999992</v>
      </c>
      <c r="I33" s="132">
        <f>15858.33351</f>
        <v>15858.33351</v>
      </c>
      <c r="J33" s="65"/>
    </row>
    <row r="34" spans="1:13" ht="14.1" customHeight="1" x14ac:dyDescent="0.25">
      <c r="A34" s="66"/>
      <c r="B34" s="53"/>
      <c r="C34" s="56" t="s">
        <v>30</v>
      </c>
      <c r="D34" s="58">
        <f>D35+D36</f>
        <v>14034</v>
      </c>
      <c r="E34" s="58">
        <v>15037</v>
      </c>
      <c r="F34" s="132">
        <f>F35+F36</f>
        <v>39.907490000000003</v>
      </c>
      <c r="G34" s="132">
        <f>G35+G36</f>
        <v>12061.4478</v>
      </c>
      <c r="H34" s="132">
        <f t="shared" si="3"/>
        <v>2975.5522000000001</v>
      </c>
      <c r="I34" s="132">
        <f>I35+I36</f>
        <v>20273.1201</v>
      </c>
      <c r="J34" s="65"/>
    </row>
    <row r="35" spans="1:13" ht="14.1" customHeight="1" x14ac:dyDescent="0.25">
      <c r="A35" s="197"/>
      <c r="B35" s="182"/>
      <c r="C35" s="62" t="s">
        <v>31</v>
      </c>
      <c r="D35" s="63">
        <v>13074</v>
      </c>
      <c r="E35" s="63">
        <f>E34-E36</f>
        <v>14077</v>
      </c>
      <c r="F35" s="127">
        <f>39.90749</f>
        <v>39.907490000000003</v>
      </c>
      <c r="G35" s="132">
        <f>14875.4478 - F60 - F61</f>
        <v>11648.4478</v>
      </c>
      <c r="H35" s="127">
        <f t="shared" si="3"/>
        <v>2428.5522000000001</v>
      </c>
      <c r="I35" s="127">
        <f>24654.1201 - H60 - H61</f>
        <v>19742.1201</v>
      </c>
      <c r="J35" s="65"/>
    </row>
    <row r="36" spans="1:13" ht="14.1" customHeight="1" x14ac:dyDescent="0.25">
      <c r="A36" s="197"/>
      <c r="B36" s="182"/>
      <c r="C36" s="69" t="s">
        <v>32</v>
      </c>
      <c r="D36" s="70">
        <v>960</v>
      </c>
      <c r="E36" s="70">
        <v>960</v>
      </c>
      <c r="F36" s="71">
        <f>E60</f>
        <v>0</v>
      </c>
      <c r="G36" s="71">
        <f>F60</f>
        <v>413</v>
      </c>
      <c r="H36" s="71">
        <f t="shared" si="3"/>
        <v>547</v>
      </c>
      <c r="I36" s="71">
        <f>H60</f>
        <v>531</v>
      </c>
      <c r="J36" s="65"/>
    </row>
    <row r="37" spans="1:13" ht="15.75" customHeight="1" x14ac:dyDescent="0.25">
      <c r="A37" s="1"/>
      <c r="B37" s="254"/>
      <c r="C37" s="73" t="s">
        <v>33</v>
      </c>
      <c r="D37" s="143">
        <v>2000</v>
      </c>
      <c r="E37" s="143">
        <v>2000</v>
      </c>
      <c r="F37" s="139">
        <f>0</f>
        <v>0</v>
      </c>
      <c r="G37" s="139">
        <f>348.3612</f>
        <v>348.3612</v>
      </c>
      <c r="H37" s="139">
        <f t="shared" si="3"/>
        <v>1651.6387999999999</v>
      </c>
      <c r="I37" s="139">
        <f>746.7916</f>
        <v>746.79160000000002</v>
      </c>
      <c r="J37" s="244"/>
    </row>
    <row r="38" spans="1:13" ht="14.1" customHeight="1" x14ac:dyDescent="0.25">
      <c r="A38" s="1"/>
      <c r="B38" s="254"/>
      <c r="C38" s="73" t="s">
        <v>34</v>
      </c>
      <c r="D38" s="143">
        <v>855</v>
      </c>
      <c r="E38" s="143">
        <v>855</v>
      </c>
      <c r="F38" s="98">
        <f>0</f>
        <v>0</v>
      </c>
      <c r="G38" s="98">
        <f>472.67923</f>
        <v>472.67923000000002</v>
      </c>
      <c r="H38" s="98">
        <f t="shared" si="3"/>
        <v>382.32076999999998</v>
      </c>
      <c r="I38" s="98">
        <f>490.34022</f>
        <v>490.34021999999999</v>
      </c>
      <c r="J38" s="244"/>
    </row>
    <row r="39" spans="1:13" ht="17.25" customHeight="1" x14ac:dyDescent="0.25">
      <c r="A39" s="1"/>
      <c r="B39" s="254"/>
      <c r="C39" s="73" t="s">
        <v>35</v>
      </c>
      <c r="D39" s="143">
        <v>3000</v>
      </c>
      <c r="E39" s="143">
        <v>3000</v>
      </c>
      <c r="F39" s="98">
        <f>E61</f>
        <v>0</v>
      </c>
      <c r="G39" s="98">
        <f>F61</f>
        <v>2814</v>
      </c>
      <c r="H39" s="98">
        <f t="shared" si="3"/>
        <v>186</v>
      </c>
      <c r="I39" s="98">
        <f>H61</f>
        <v>4381</v>
      </c>
      <c r="J39" s="244"/>
    </row>
    <row r="40" spans="1:13" ht="17.25" customHeight="1" x14ac:dyDescent="0.25">
      <c r="A40" s="1"/>
      <c r="B40" s="254"/>
      <c r="C40" s="73" t="s">
        <v>36</v>
      </c>
      <c r="D40" s="143">
        <v>7000</v>
      </c>
      <c r="E40" s="143">
        <v>7000</v>
      </c>
      <c r="F40" s="98">
        <f>0.3305</f>
        <v>0.33050000000000002</v>
      </c>
      <c r="G40" s="98">
        <f>E40</f>
        <v>7000</v>
      </c>
      <c r="H40" s="98">
        <f t="shared" si="3"/>
        <v>0</v>
      </c>
      <c r="I40" s="98">
        <f>E40</f>
        <v>7000</v>
      </c>
      <c r="J40" s="244"/>
    </row>
    <row r="41" spans="1:13" ht="17.25" customHeight="1" x14ac:dyDescent="0.25">
      <c r="A41" s="1"/>
      <c r="B41" s="254"/>
      <c r="C41" s="73" t="s">
        <v>38</v>
      </c>
      <c r="D41" s="143">
        <v>400</v>
      </c>
      <c r="E41" s="143">
        <v>400</v>
      </c>
      <c r="F41" s="98">
        <f>1.14706</f>
        <v>1.14706</v>
      </c>
      <c r="G41" s="98">
        <f>338.10592</f>
        <v>338.10592000000003</v>
      </c>
      <c r="H41" s="98">
        <f>E41-G41</f>
        <v>61.894079999999974</v>
      </c>
      <c r="I41" s="98">
        <f>355.34735</f>
        <v>355.34735000000001</v>
      </c>
      <c r="J41" s="244"/>
    </row>
    <row r="42" spans="1:13" ht="17.25" customHeight="1" x14ac:dyDescent="0.25">
      <c r="A42" s="1"/>
      <c r="B42" s="254"/>
      <c r="C42" s="73" t="s">
        <v>127</v>
      </c>
      <c r="D42" s="143">
        <v>100</v>
      </c>
      <c r="E42" s="143">
        <v>100</v>
      </c>
      <c r="F42" s="98"/>
      <c r="G42" s="98">
        <v>4.0000000000000001E-3</v>
      </c>
      <c r="H42" s="98">
        <f>E42-G42</f>
        <v>99.995999999999995</v>
      </c>
      <c r="I42" s="98"/>
      <c r="J42" s="244"/>
      <c r="M42" s="225"/>
    </row>
    <row r="43" spans="1:13" ht="14.1" customHeight="1" x14ac:dyDescent="0.25">
      <c r="A43" s="1"/>
      <c r="B43" s="254"/>
      <c r="C43" s="73" t="s">
        <v>39</v>
      </c>
      <c r="D43" s="143"/>
      <c r="E43" s="139"/>
      <c r="F43" s="139">
        <f>1.06259</f>
        <v>1.0625899999999999</v>
      </c>
      <c r="G43" s="139">
        <f>102.73987</f>
        <v>102.73987</v>
      </c>
      <c r="H43" s="139">
        <f t="shared" ref="H43" si="4">E43-G43</f>
        <v>-102.73987</v>
      </c>
      <c r="I43" s="139">
        <f>107.06692</f>
        <v>107.06692</v>
      </c>
      <c r="J43" s="244"/>
    </row>
    <row r="44" spans="1:13" ht="16.5" customHeight="1" x14ac:dyDescent="0.25">
      <c r="A44" s="1"/>
      <c r="B44" s="254"/>
      <c r="C44" s="74" t="s">
        <v>40</v>
      </c>
      <c r="D44" s="76">
        <f t="shared" ref="D44:I44" si="5">D23+D26+D37+D38+D39+D40+D41+D42+D43</f>
        <v>214967</v>
      </c>
      <c r="E44" s="76">
        <f t="shared" si="5"/>
        <v>219041</v>
      </c>
      <c r="F44" s="76">
        <f t="shared" si="5"/>
        <v>793.50239999999997</v>
      </c>
      <c r="G44" s="76">
        <f t="shared" si="5"/>
        <v>174891.85885000002</v>
      </c>
      <c r="H44" s="76">
        <f t="shared" si="5"/>
        <v>44149.141149999996</v>
      </c>
      <c r="I44" s="76">
        <f t="shared" si="5"/>
        <v>244483.71497</v>
      </c>
      <c r="J44" s="244"/>
    </row>
    <row r="45" spans="1:13" ht="14.1" customHeight="1" x14ac:dyDescent="0.25">
      <c r="A45" s="101"/>
      <c r="B45" s="24"/>
      <c r="C45" s="77" t="s">
        <v>128</v>
      </c>
      <c r="D45" s="258"/>
      <c r="E45" s="258"/>
      <c r="F45" s="80"/>
      <c r="G45" s="80"/>
      <c r="H45" s="228"/>
      <c r="I45" s="228"/>
      <c r="J45" s="81"/>
    </row>
    <row r="46" spans="1:13" ht="14.1" customHeight="1" x14ac:dyDescent="0.25">
      <c r="A46" s="101"/>
      <c r="B46" s="24"/>
      <c r="C46" s="82" t="s">
        <v>41</v>
      </c>
      <c r="D46" s="258"/>
      <c r="E46" s="258"/>
      <c r="F46" s="258"/>
      <c r="G46" s="80"/>
      <c r="H46" s="178"/>
      <c r="I46" s="178"/>
      <c r="J46" s="244"/>
    </row>
    <row r="47" spans="1:13" ht="14.1" customHeight="1" x14ac:dyDescent="0.25">
      <c r="A47" s="101"/>
      <c r="B47" s="24"/>
      <c r="C47" s="161" t="s">
        <v>145</v>
      </c>
      <c r="D47" s="258"/>
      <c r="E47" s="258"/>
      <c r="F47" s="258"/>
      <c r="G47" s="80"/>
      <c r="H47" s="178"/>
      <c r="I47" s="178"/>
      <c r="J47" s="120"/>
    </row>
    <row r="48" spans="1:13" ht="14.1" customHeight="1" x14ac:dyDescent="0.25">
      <c r="A48" s="101"/>
      <c r="B48" s="24"/>
      <c r="C48" s="161" t="s">
        <v>129</v>
      </c>
      <c r="D48" s="258"/>
      <c r="E48" s="258"/>
      <c r="F48" s="258"/>
      <c r="G48" s="258"/>
      <c r="H48" s="178"/>
      <c r="I48" s="178"/>
      <c r="J48" s="120"/>
    </row>
    <row r="49" spans="1:10" ht="14.1" customHeight="1" x14ac:dyDescent="0.25">
      <c r="A49" s="101"/>
      <c r="B49" s="24"/>
      <c r="C49" s="101" t="s">
        <v>42</v>
      </c>
      <c r="D49" s="258"/>
      <c r="E49" s="258"/>
      <c r="F49" s="258"/>
      <c r="G49" s="258"/>
      <c r="H49" s="178"/>
      <c r="I49" s="178"/>
      <c r="J49" s="120"/>
    </row>
    <row r="50" spans="1:10" ht="14.1" customHeight="1" x14ac:dyDescent="0.25">
      <c r="A50" s="101"/>
      <c r="B50" s="24"/>
      <c r="C50" s="101"/>
      <c r="D50" s="258"/>
      <c r="E50" s="258"/>
      <c r="F50" s="258"/>
      <c r="G50" s="258"/>
      <c r="H50" s="178"/>
      <c r="I50" s="178"/>
      <c r="J50" s="120"/>
    </row>
    <row r="51" spans="1:10" ht="20.25" customHeight="1" x14ac:dyDescent="0.25">
      <c r="A51" s="101"/>
      <c r="B51" s="241"/>
      <c r="C51" s="272"/>
      <c r="D51" s="272"/>
      <c r="E51" s="109"/>
      <c r="F51" s="272"/>
      <c r="G51" s="272"/>
      <c r="H51" s="272"/>
      <c r="I51" s="272"/>
      <c r="J51" s="184"/>
    </row>
    <row r="52" spans="1:10" ht="33" customHeight="1" x14ac:dyDescent="0.25">
      <c r="A52" s="101"/>
      <c r="B52" s="24"/>
      <c r="C52" s="294" t="s">
        <v>43</v>
      </c>
      <c r="D52" s="294"/>
      <c r="E52" s="294"/>
      <c r="F52" s="294"/>
      <c r="G52" s="294"/>
      <c r="H52" s="294"/>
      <c r="I52" s="83"/>
      <c r="J52" s="84"/>
    </row>
    <row r="53" spans="1:10" ht="7.5" customHeight="1" x14ac:dyDescent="0.25">
      <c r="A53" s="101"/>
      <c r="B53" s="24"/>
      <c r="C53" s="161"/>
      <c r="D53" s="258"/>
      <c r="E53" s="258"/>
      <c r="F53" s="258"/>
      <c r="G53" s="258"/>
      <c r="H53" s="178"/>
      <c r="I53" s="178"/>
      <c r="J53" s="120"/>
    </row>
    <row r="54" spans="1:10" ht="61.5" customHeight="1" x14ac:dyDescent="0.25">
      <c r="A54" s="101"/>
      <c r="B54" s="24"/>
      <c r="C54" s="86" t="s">
        <v>16</v>
      </c>
      <c r="D54" s="68" t="s">
        <v>44</v>
      </c>
      <c r="E54" s="68" t="s">
        <v>146</v>
      </c>
      <c r="F54" s="68" t="s">
        <v>147</v>
      </c>
      <c r="G54" s="68" t="s">
        <v>148</v>
      </c>
      <c r="H54" s="68" t="s">
        <v>149</v>
      </c>
      <c r="I54" s="258"/>
      <c r="J54" s="244"/>
    </row>
    <row r="55" spans="1:10" ht="14.1" customHeight="1" x14ac:dyDescent="0.25">
      <c r="A55" s="101"/>
      <c r="B55" s="24"/>
      <c r="C55" s="16" t="s">
        <v>45</v>
      </c>
      <c r="D55" s="295">
        <v>7872</v>
      </c>
      <c r="E55" s="11">
        <f>E59+E58+E57+E56</f>
        <v>0</v>
      </c>
      <c r="F55" s="11">
        <f>F59+F58+F57+F56</f>
        <v>3652</v>
      </c>
      <c r="G55" s="295">
        <f>D55-F55</f>
        <v>4220</v>
      </c>
      <c r="H55" s="11">
        <f>H59+H58+H57+H56</f>
        <v>5816</v>
      </c>
      <c r="I55" s="258"/>
      <c r="J55" s="244"/>
    </row>
    <row r="56" spans="1:10" ht="14.1" customHeight="1" x14ac:dyDescent="0.25">
      <c r="A56" s="101"/>
      <c r="B56" s="24"/>
      <c r="C56" s="62" t="s">
        <v>24</v>
      </c>
      <c r="D56" s="296"/>
      <c r="E56" s="127"/>
      <c r="F56" s="127">
        <v>618</v>
      </c>
      <c r="G56" s="296"/>
      <c r="H56" s="127">
        <v>722</v>
      </c>
      <c r="I56" s="258"/>
      <c r="J56" s="244"/>
    </row>
    <row r="57" spans="1:10" ht="14.1" customHeight="1" x14ac:dyDescent="0.25">
      <c r="A57" s="101"/>
      <c r="B57" s="24"/>
      <c r="C57" s="62" t="s">
        <v>25</v>
      </c>
      <c r="D57" s="296"/>
      <c r="E57" s="127"/>
      <c r="F57" s="127">
        <v>942</v>
      </c>
      <c r="G57" s="296"/>
      <c r="H57" s="127">
        <v>1602</v>
      </c>
      <c r="I57" s="258"/>
      <c r="J57" s="244"/>
    </row>
    <row r="58" spans="1:10" ht="14.1" customHeight="1" x14ac:dyDescent="0.25">
      <c r="A58" s="101"/>
      <c r="B58" s="24"/>
      <c r="C58" s="62" t="s">
        <v>26</v>
      </c>
      <c r="D58" s="296"/>
      <c r="E58" s="127"/>
      <c r="F58" s="127">
        <v>1137</v>
      </c>
      <c r="G58" s="296"/>
      <c r="H58" s="127">
        <v>2364</v>
      </c>
      <c r="I58" s="258"/>
      <c r="J58" s="244"/>
    </row>
    <row r="59" spans="1:10" ht="14.1" customHeight="1" x14ac:dyDescent="0.25">
      <c r="A59" s="101"/>
      <c r="B59" s="24"/>
      <c r="C59" s="87" t="s">
        <v>27</v>
      </c>
      <c r="D59" s="297"/>
      <c r="E59" s="192"/>
      <c r="F59" s="192">
        <v>955</v>
      </c>
      <c r="G59" s="297"/>
      <c r="H59" s="192">
        <v>1128</v>
      </c>
      <c r="I59" s="258"/>
      <c r="J59" s="244"/>
    </row>
    <row r="60" spans="1:10" ht="14.1" customHeight="1" x14ac:dyDescent="0.25">
      <c r="A60" s="101"/>
      <c r="B60" s="24"/>
      <c r="C60" s="88" t="s">
        <v>46</v>
      </c>
      <c r="D60" s="95">
        <v>960</v>
      </c>
      <c r="E60" s="95"/>
      <c r="F60" s="95">
        <v>413</v>
      </c>
      <c r="G60" s="95">
        <f>D60-F60</f>
        <v>547</v>
      </c>
      <c r="H60" s="95">
        <v>531</v>
      </c>
      <c r="I60" s="258"/>
      <c r="J60" s="244"/>
    </row>
    <row r="61" spans="1:10" ht="14.1" customHeight="1" x14ac:dyDescent="0.25">
      <c r="A61" s="101"/>
      <c r="B61" s="24"/>
      <c r="C61" s="142" t="s">
        <v>47</v>
      </c>
      <c r="D61" s="139">
        <v>3000</v>
      </c>
      <c r="E61" s="139"/>
      <c r="F61" s="139">
        <v>2814</v>
      </c>
      <c r="G61" s="139">
        <f>D61-F61</f>
        <v>186</v>
      </c>
      <c r="H61" s="139">
        <v>4381</v>
      </c>
      <c r="I61" s="258"/>
      <c r="J61" s="244"/>
    </row>
    <row r="62" spans="1:10" ht="14.1" customHeight="1" x14ac:dyDescent="0.25">
      <c r="A62" s="101"/>
      <c r="B62" s="24"/>
      <c r="C62" s="77" t="s">
        <v>130</v>
      </c>
      <c r="D62" s="258"/>
      <c r="E62" s="258"/>
      <c r="F62" s="258"/>
      <c r="G62" s="258"/>
      <c r="H62" s="178"/>
      <c r="I62" s="178"/>
      <c r="J62" s="120"/>
    </row>
    <row r="63" spans="1:10" ht="14.1" customHeight="1" x14ac:dyDescent="0.25">
      <c r="A63" s="101"/>
      <c r="B63" s="24"/>
      <c r="C63" s="161"/>
      <c r="D63" s="258"/>
      <c r="E63" s="258"/>
      <c r="F63" s="258"/>
      <c r="G63" s="258"/>
      <c r="H63" s="178"/>
      <c r="I63" s="178"/>
      <c r="J63" s="120"/>
    </row>
    <row r="64" spans="1:10" ht="15" customHeight="1" x14ac:dyDescent="0.25">
      <c r="A64" s="101"/>
      <c r="B64" s="24"/>
      <c r="C64" s="161"/>
      <c r="D64" s="258"/>
      <c r="E64" s="258"/>
      <c r="F64" s="258"/>
      <c r="G64" s="258"/>
      <c r="H64" s="178"/>
      <c r="I64" s="178"/>
      <c r="J64" s="120"/>
    </row>
    <row r="65" spans="1:10" ht="12" customHeight="1" x14ac:dyDescent="0.2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8"/>
      <c r="D67" s="119"/>
      <c r="E67" s="119"/>
      <c r="F67" s="119"/>
      <c r="G67" s="119"/>
      <c r="H67" s="1"/>
      <c r="I67" s="1"/>
      <c r="J67" s="1"/>
    </row>
    <row r="68" spans="1:10" x14ac:dyDescent="0.25">
      <c r="B68" s="1" t="s">
        <v>115</v>
      </c>
      <c r="C68" s="288"/>
      <c r="D68" s="119"/>
      <c r="E68" s="119"/>
      <c r="F68" s="119"/>
      <c r="G68" s="119"/>
      <c r="H68" s="1"/>
      <c r="I68" s="1"/>
      <c r="J68" s="1"/>
    </row>
    <row r="71" spans="1:10" ht="0.75" customHeight="1" x14ac:dyDescent="0.25"/>
    <row r="77" spans="1:10" ht="108" customHeight="1" x14ac:dyDescent="0.25"/>
    <row r="78" spans="1:10" ht="17.100000000000001" customHeight="1" x14ac:dyDescent="0.25">
      <c r="B78" s="2"/>
      <c r="C78" s="219" t="s">
        <v>48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9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25">
      <c r="B81" s="52"/>
      <c r="C81" s="298" t="s">
        <v>1</v>
      </c>
      <c r="D81" s="299"/>
      <c r="E81" s="298" t="s">
        <v>2</v>
      </c>
      <c r="F81" s="300"/>
      <c r="G81" s="298" t="s">
        <v>3</v>
      </c>
      <c r="H81" s="299"/>
      <c r="I81" s="178"/>
      <c r="J81" s="244"/>
    </row>
    <row r="82" spans="1:10" ht="15" customHeight="1" x14ac:dyDescent="0.25">
      <c r="B82" s="254"/>
      <c r="C82" s="115" t="s">
        <v>6</v>
      </c>
      <c r="D82" s="117">
        <v>70605</v>
      </c>
      <c r="E82" s="259" t="s">
        <v>4</v>
      </c>
      <c r="F82" s="114">
        <v>26707</v>
      </c>
      <c r="G82" s="191" t="s">
        <v>5</v>
      </c>
      <c r="H82" s="114">
        <v>7843</v>
      </c>
      <c r="I82" s="178"/>
      <c r="J82" s="244"/>
    </row>
    <row r="83" spans="1:10" ht="15" customHeight="1" x14ac:dyDescent="0.25">
      <c r="B83" s="254"/>
      <c r="C83" s="115" t="s">
        <v>9</v>
      </c>
      <c r="D83" s="117">
        <v>61605</v>
      </c>
      <c r="E83" s="248" t="s">
        <v>7</v>
      </c>
      <c r="F83" s="117">
        <v>43575</v>
      </c>
      <c r="G83" s="191" t="s">
        <v>8</v>
      </c>
      <c r="H83" s="117">
        <v>32246</v>
      </c>
      <c r="I83" s="178"/>
      <c r="J83" s="244"/>
    </row>
    <row r="84" spans="1:10" ht="14.1" customHeight="1" x14ac:dyDescent="0.25">
      <c r="B84" s="254"/>
      <c r="C84" s="115" t="s">
        <v>74</v>
      </c>
      <c r="D84" s="117">
        <v>8790</v>
      </c>
      <c r="E84" s="115" t="s">
        <v>10</v>
      </c>
      <c r="F84" s="117">
        <v>1891</v>
      </c>
      <c r="G84" s="191" t="s">
        <v>11</v>
      </c>
      <c r="H84" s="117">
        <v>3486</v>
      </c>
      <c r="I84" s="178"/>
      <c r="J84" s="244"/>
    </row>
    <row r="85" spans="1:10" ht="12" customHeight="1" x14ac:dyDescent="0.25">
      <c r="B85" s="254"/>
      <c r="C85" s="177" t="s">
        <v>49</v>
      </c>
      <c r="D85" s="189">
        <f>SUM(D82:D84)</f>
        <v>141000</v>
      </c>
      <c r="E85" s="177" t="s">
        <v>14</v>
      </c>
      <c r="F85" s="189">
        <f>SUM(F82:F84)</f>
        <v>72173</v>
      </c>
      <c r="G85" s="177" t="s">
        <v>7</v>
      </c>
      <c r="H85" s="189">
        <f>SUM(H82:H84)</f>
        <v>43575</v>
      </c>
      <c r="I85" s="178"/>
      <c r="J85" s="244"/>
    </row>
    <row r="86" spans="1:10" ht="14.25" customHeight="1" x14ac:dyDescent="0.25">
      <c r="A86" s="1"/>
      <c r="B86" s="254"/>
      <c r="C86" s="101" t="s">
        <v>140</v>
      </c>
      <c r="D86" s="220"/>
      <c r="E86" s="220"/>
      <c r="F86" s="220"/>
      <c r="G86" s="220"/>
      <c r="H86" s="220"/>
      <c r="I86" s="236"/>
      <c r="J86" s="120"/>
    </row>
    <row r="87" spans="1:10" ht="6" customHeight="1" x14ac:dyDescent="0.25">
      <c r="A87" s="1"/>
      <c r="B87" s="254"/>
      <c r="C87" s="96"/>
      <c r="D87" s="96"/>
      <c r="E87" s="96"/>
      <c r="F87" s="96"/>
      <c r="G87" s="96"/>
      <c r="H87" s="96"/>
      <c r="I87" s="236"/>
      <c r="J87" s="120"/>
    </row>
    <row r="88" spans="1:10" ht="14.1" customHeight="1" x14ac:dyDescent="0.25">
      <c r="A88" s="1"/>
      <c r="B88" s="135"/>
      <c r="C88" s="272"/>
      <c r="D88" s="109"/>
      <c r="E88" s="272"/>
      <c r="F88" s="272"/>
      <c r="G88" s="272"/>
      <c r="H88" s="272"/>
      <c r="I88" s="261"/>
      <c r="J88" s="184"/>
    </row>
    <row r="89" spans="1:10" ht="20.25" customHeight="1" x14ac:dyDescent="0.25">
      <c r="A89" s="1"/>
      <c r="B89" s="254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3">
      <c r="A90" s="1"/>
      <c r="B90" s="254"/>
      <c r="C90" s="290"/>
      <c r="D90" s="290"/>
      <c r="E90" s="290"/>
      <c r="F90" s="290"/>
      <c r="G90" s="290"/>
      <c r="H90" s="290"/>
      <c r="I90" s="290"/>
      <c r="J90" s="19"/>
    </row>
    <row r="91" spans="1:10" ht="54" customHeight="1" x14ac:dyDescent="0.25">
      <c r="A91" s="1"/>
      <c r="B91" s="254"/>
      <c r="C91" s="15" t="s">
        <v>16</v>
      </c>
      <c r="D91" s="113" t="s">
        <v>17</v>
      </c>
      <c r="E91" s="15" t="s">
        <v>50</v>
      </c>
      <c r="F91" s="15" t="s">
        <v>146</v>
      </c>
      <c r="G91" s="15" t="s">
        <v>147</v>
      </c>
      <c r="H91" s="15" t="s">
        <v>148</v>
      </c>
      <c r="I91" s="15" t="s">
        <v>149</v>
      </c>
      <c r="J91" s="120"/>
    </row>
    <row r="92" spans="1:10" ht="14.1" customHeight="1" x14ac:dyDescent="0.25">
      <c r="A92" s="1"/>
      <c r="B92" s="254"/>
      <c r="C92" s="32" t="s">
        <v>19</v>
      </c>
      <c r="D92" s="28">
        <f>D93+D94</f>
        <v>26707</v>
      </c>
      <c r="E92" s="28">
        <f>E94+E93</f>
        <v>25961</v>
      </c>
      <c r="F92" s="11">
        <f t="shared" ref="F92:I92" si="6">F94+F93</f>
        <v>20.643729999999998</v>
      </c>
      <c r="G92" s="11">
        <f t="shared" si="6"/>
        <v>23418.869849999999</v>
      </c>
      <c r="H92" s="11">
        <f t="shared" si="6"/>
        <v>2542.13015</v>
      </c>
      <c r="I92" s="11">
        <f t="shared" si="6"/>
        <v>39409.814139999995</v>
      </c>
      <c r="J92" s="244"/>
    </row>
    <row r="93" spans="1:10" ht="15" customHeight="1" x14ac:dyDescent="0.25">
      <c r="A93" s="1"/>
      <c r="B93" s="254"/>
      <c r="C93" s="44" t="s">
        <v>20</v>
      </c>
      <c r="D93" s="45">
        <v>25957</v>
      </c>
      <c r="E93" s="45">
        <v>25136</v>
      </c>
      <c r="F93" s="23">
        <f>20.43443</f>
        <v>20.434429999999999</v>
      </c>
      <c r="G93" s="23">
        <f>22626.8531</f>
        <v>22626.8531</v>
      </c>
      <c r="H93" s="23">
        <f>E93-G93</f>
        <v>2509.1468999999997</v>
      </c>
      <c r="I93" s="23">
        <f>38900.43975</f>
        <v>38900.439749999998</v>
      </c>
      <c r="J93" s="244"/>
    </row>
    <row r="94" spans="1:10" ht="14.1" customHeight="1" x14ac:dyDescent="0.25">
      <c r="A94" s="1"/>
      <c r="B94" s="254"/>
      <c r="C94" s="64" t="s">
        <v>21</v>
      </c>
      <c r="D94" s="49">
        <v>750</v>
      </c>
      <c r="E94" s="49">
        <v>825</v>
      </c>
      <c r="F94" s="50">
        <f>0.2093</f>
        <v>0.20930000000000001</v>
      </c>
      <c r="G94" s="50">
        <f>792.01675</f>
        <v>792.01675</v>
      </c>
      <c r="H94" s="50">
        <f>E94-G94</f>
        <v>32.983249999999998</v>
      </c>
      <c r="I94" s="50">
        <f>509.37439</f>
        <v>509.37439000000001</v>
      </c>
      <c r="J94" s="244"/>
    </row>
    <row r="95" spans="1:10" ht="15.75" customHeight="1" x14ac:dyDescent="0.25">
      <c r="A95" s="1"/>
      <c r="B95" s="52"/>
      <c r="C95" s="16" t="s">
        <v>22</v>
      </c>
      <c r="D95" s="28">
        <f>D96+D101+D102</f>
        <v>44797</v>
      </c>
      <c r="E95" s="28">
        <f>E96+E101+E102</f>
        <v>48994</v>
      </c>
      <c r="F95" s="11">
        <f t="shared" ref="F95:I95" si="7">F96+F101+F102</f>
        <v>278.13132999999999</v>
      </c>
      <c r="G95" s="11">
        <f t="shared" si="7"/>
        <v>39332.428690000001</v>
      </c>
      <c r="H95" s="11">
        <f t="shared" si="7"/>
        <v>9661.5713100000012</v>
      </c>
      <c r="I95" s="11">
        <f t="shared" si="7"/>
        <v>28294.297500000001</v>
      </c>
      <c r="J95" s="244"/>
    </row>
    <row r="96" spans="1:10" ht="14.1" customHeight="1" x14ac:dyDescent="0.25">
      <c r="A96" s="1"/>
      <c r="B96" s="53"/>
      <c r="C96" s="56" t="s">
        <v>23</v>
      </c>
      <c r="D96" s="58">
        <f>D97+D98+D99+D100</f>
        <v>33468</v>
      </c>
      <c r="E96" s="58">
        <f>E100+E99+E98+E97</f>
        <v>37494</v>
      </c>
      <c r="F96" s="132">
        <f t="shared" ref="F96:I96" si="8">F97+F98+F99+F100</f>
        <v>200.24176</v>
      </c>
      <c r="G96" s="132">
        <f t="shared" si="8"/>
        <v>31767.11276</v>
      </c>
      <c r="H96" s="132">
        <f t="shared" si="8"/>
        <v>5726.8872400000009</v>
      </c>
      <c r="I96" s="132">
        <f t="shared" si="8"/>
        <v>20596.629540000002</v>
      </c>
      <c r="J96" s="244"/>
    </row>
    <row r="97" spans="1:10" ht="14.1" customHeight="1" x14ac:dyDescent="0.25">
      <c r="A97" s="197"/>
      <c r="B97" s="182"/>
      <c r="C97" s="62" t="s">
        <v>24</v>
      </c>
      <c r="D97" s="63">
        <v>8940</v>
      </c>
      <c r="E97" s="63">
        <v>10015</v>
      </c>
      <c r="F97" s="127">
        <f>114.2046</f>
        <v>114.2046</v>
      </c>
      <c r="G97" s="127">
        <f>4880.6623</f>
        <v>4880.6623</v>
      </c>
      <c r="H97" s="127">
        <f t="shared" ref="H97:H104" si="9">E97-G97</f>
        <v>5134.3377</v>
      </c>
      <c r="I97" s="127">
        <f>3090.75557</f>
        <v>3090.7555699999998</v>
      </c>
      <c r="J97" s="244"/>
    </row>
    <row r="98" spans="1:10" ht="14.1" customHeight="1" x14ac:dyDescent="0.25">
      <c r="A98" s="197"/>
      <c r="B98" s="182"/>
      <c r="C98" s="62" t="s">
        <v>51</v>
      </c>
      <c r="D98" s="63">
        <v>9469</v>
      </c>
      <c r="E98" s="63">
        <v>10614</v>
      </c>
      <c r="F98" s="127">
        <f>42.84104</f>
        <v>42.84104</v>
      </c>
      <c r="G98" s="127">
        <f>10399.84845</f>
        <v>10399.84845</v>
      </c>
      <c r="H98" s="127">
        <f t="shared" si="9"/>
        <v>214.1515500000005</v>
      </c>
      <c r="I98" s="127">
        <f>6108.61562</f>
        <v>6108.6156199999996</v>
      </c>
      <c r="J98" s="244"/>
    </row>
    <row r="99" spans="1:10" ht="14.1" customHeight="1" x14ac:dyDescent="0.25">
      <c r="A99" s="197"/>
      <c r="B99" s="182"/>
      <c r="C99" s="62" t="s">
        <v>52</v>
      </c>
      <c r="D99" s="63">
        <v>9029</v>
      </c>
      <c r="E99" s="63">
        <v>10112</v>
      </c>
      <c r="F99" s="127">
        <f>3.42836</f>
        <v>3.4283600000000001</v>
      </c>
      <c r="G99" s="127">
        <f>9839.94154</f>
        <v>9839.9415399999998</v>
      </c>
      <c r="H99" s="127">
        <f t="shared" si="9"/>
        <v>272.0584600000002</v>
      </c>
      <c r="I99" s="127">
        <f>6292.83269</f>
        <v>6292.8326900000002</v>
      </c>
      <c r="J99" s="244"/>
    </row>
    <row r="100" spans="1:10" ht="14.1" customHeight="1" x14ac:dyDescent="0.25">
      <c r="A100" s="197"/>
      <c r="B100" s="182"/>
      <c r="C100" s="62" t="s">
        <v>27</v>
      </c>
      <c r="D100" s="63">
        <v>6030</v>
      </c>
      <c r="E100" s="63">
        <v>6753</v>
      </c>
      <c r="F100" s="127">
        <f>39.76776</f>
        <v>39.767760000000003</v>
      </c>
      <c r="G100" s="127">
        <f>6646.66047</f>
        <v>6646.6604699999998</v>
      </c>
      <c r="H100" s="127">
        <f t="shared" si="9"/>
        <v>106.3395300000002</v>
      </c>
      <c r="I100" s="127">
        <f>5104.42566</f>
        <v>5104.4256599999999</v>
      </c>
      <c r="J100" s="244"/>
    </row>
    <row r="101" spans="1:10" ht="14.1" customHeight="1" x14ac:dyDescent="0.25">
      <c r="A101" s="197"/>
      <c r="B101" s="182"/>
      <c r="C101" s="56" t="s">
        <v>53</v>
      </c>
      <c r="D101" s="58">
        <v>7843</v>
      </c>
      <c r="E101" s="58">
        <v>7596</v>
      </c>
      <c r="F101" s="132">
        <f>0.1539</f>
        <v>0.15390000000000001</v>
      </c>
      <c r="G101" s="132">
        <f>5367.01472</f>
        <v>5367.0147200000001</v>
      </c>
      <c r="H101" s="132">
        <f t="shared" si="9"/>
        <v>2228.9852799999999</v>
      </c>
      <c r="I101" s="132">
        <f>6168.27615</f>
        <v>6168.2761499999997</v>
      </c>
      <c r="J101" s="244"/>
    </row>
    <row r="102" spans="1:10" ht="15.75" customHeight="1" x14ac:dyDescent="0.25">
      <c r="A102" s="1"/>
      <c r="B102" s="53"/>
      <c r="C102" s="38" t="s">
        <v>11</v>
      </c>
      <c r="D102" s="61">
        <v>3486</v>
      </c>
      <c r="E102" s="61">
        <v>3904</v>
      </c>
      <c r="F102" s="75">
        <f>77.73567</f>
        <v>77.735669999999999</v>
      </c>
      <c r="G102" s="75">
        <f>2198.30121</f>
        <v>2198.3012100000001</v>
      </c>
      <c r="H102" s="75">
        <f t="shared" si="9"/>
        <v>1705.6987899999999</v>
      </c>
      <c r="I102" s="75">
        <f>1529.39181</f>
        <v>1529.3918100000001</v>
      </c>
      <c r="J102" s="244"/>
    </row>
    <row r="103" spans="1:10" ht="15.75" customHeight="1" x14ac:dyDescent="0.25">
      <c r="A103" s="1"/>
      <c r="B103" s="53"/>
      <c r="C103" s="73" t="s">
        <v>34</v>
      </c>
      <c r="D103" s="89">
        <v>319</v>
      </c>
      <c r="E103" s="89">
        <v>319</v>
      </c>
      <c r="F103" s="98">
        <f>0</f>
        <v>0</v>
      </c>
      <c r="G103" s="98">
        <f>36.10176</f>
        <v>36.101759999999999</v>
      </c>
      <c r="H103" s="98">
        <f t="shared" si="9"/>
        <v>282.89823999999999</v>
      </c>
      <c r="I103" s="98">
        <f>11.34443</f>
        <v>11.344429999999999</v>
      </c>
      <c r="J103" s="244"/>
    </row>
    <row r="104" spans="1:10" ht="18" customHeight="1" x14ac:dyDescent="0.25">
      <c r="A104" s="1"/>
      <c r="B104" s="254"/>
      <c r="C104" s="73" t="s">
        <v>54</v>
      </c>
      <c r="D104" s="143">
        <v>300</v>
      </c>
      <c r="E104" s="143">
        <v>300</v>
      </c>
      <c r="F104" s="139">
        <f>0.02569</f>
        <v>2.5690000000000001E-2</v>
      </c>
      <c r="G104" s="139">
        <f>E104</f>
        <v>300</v>
      </c>
      <c r="H104" s="139">
        <f t="shared" si="9"/>
        <v>0</v>
      </c>
      <c r="I104" s="139">
        <f>E104</f>
        <v>300</v>
      </c>
      <c r="J104" s="244"/>
    </row>
    <row r="105" spans="1:10" ht="16.5" customHeight="1" x14ac:dyDescent="0.25">
      <c r="A105" s="1"/>
      <c r="B105" s="254"/>
      <c r="C105" s="93" t="s">
        <v>38</v>
      </c>
      <c r="D105" s="143">
        <v>50</v>
      </c>
      <c r="E105" s="143">
        <v>50</v>
      </c>
      <c r="F105" s="98">
        <f>2.79271</f>
        <v>2.79271</v>
      </c>
      <c r="G105" s="98">
        <f>27.98255</f>
        <v>27.98255</v>
      </c>
      <c r="H105" s="139">
        <f>E105-G105</f>
        <v>22.01745</v>
      </c>
      <c r="I105" s="98">
        <f>8.3896</f>
        <v>8.3895999999999997</v>
      </c>
      <c r="J105" s="244"/>
    </row>
    <row r="106" spans="1:10" ht="18" customHeight="1" x14ac:dyDescent="0.25">
      <c r="A106" s="1"/>
      <c r="B106" s="254"/>
      <c r="C106" s="93" t="s">
        <v>55</v>
      </c>
      <c r="D106" s="143"/>
      <c r="E106" s="139"/>
      <c r="F106" s="139">
        <f>0.8208</f>
        <v>0.82079999999999997</v>
      </c>
      <c r="G106" s="139">
        <f>28.20888</f>
        <v>28.208880000000001</v>
      </c>
      <c r="H106" s="139">
        <f t="shared" ref="H106" si="10">E106-G106</f>
        <v>-28.208880000000001</v>
      </c>
      <c r="I106" s="139">
        <f>96.61676</f>
        <v>96.616759999999999</v>
      </c>
      <c r="J106" s="244"/>
    </row>
    <row r="107" spans="1:10" ht="16.5" customHeight="1" x14ac:dyDescent="0.25">
      <c r="A107" s="1"/>
      <c r="B107" s="254"/>
      <c r="C107" s="74" t="s">
        <v>40</v>
      </c>
      <c r="D107" s="76">
        <f>D92+D95+D103+D104+D105+D106</f>
        <v>72173</v>
      </c>
      <c r="E107" s="76">
        <f t="shared" ref="E107" si="11">E92+E95+E103+E104+E105+E106</f>
        <v>75624</v>
      </c>
      <c r="F107" s="76">
        <f t="shared" ref="F107:I107" si="12">F92+F95+F103+F104+F105+F106</f>
        <v>302.41426000000001</v>
      </c>
      <c r="G107" s="76">
        <f t="shared" si="12"/>
        <v>63143.59173</v>
      </c>
      <c r="H107" s="76">
        <f t="shared" si="12"/>
        <v>12480.40827</v>
      </c>
      <c r="I107" s="76">
        <f t="shared" si="12"/>
        <v>68120.462429999985</v>
      </c>
      <c r="J107" s="244"/>
    </row>
    <row r="108" spans="1:10" ht="13.5" customHeight="1" x14ac:dyDescent="0.25">
      <c r="A108" s="1"/>
      <c r="B108" s="254"/>
      <c r="C108" s="77" t="s">
        <v>131</v>
      </c>
      <c r="D108" s="100"/>
      <c r="E108" s="100"/>
      <c r="F108" s="102"/>
      <c r="G108" s="102"/>
      <c r="H108" s="104"/>
      <c r="I108" s="228"/>
      <c r="J108" s="244"/>
    </row>
    <row r="109" spans="1:10" ht="13.5" customHeight="1" x14ac:dyDescent="0.25">
      <c r="A109" s="1"/>
      <c r="B109" s="24"/>
      <c r="C109" s="161" t="s">
        <v>143</v>
      </c>
      <c r="D109" s="258"/>
      <c r="E109" s="258"/>
      <c r="F109" s="80"/>
      <c r="G109" s="80"/>
      <c r="H109" s="228"/>
      <c r="I109" s="228"/>
      <c r="J109" s="105"/>
    </row>
    <row r="110" spans="1:10" ht="15" customHeight="1" x14ac:dyDescent="0.25">
      <c r="A110" s="1"/>
      <c r="B110" s="24"/>
      <c r="C110" s="161" t="s">
        <v>132</v>
      </c>
      <c r="D110" s="258"/>
      <c r="E110" s="258"/>
      <c r="F110" s="80"/>
      <c r="G110" s="80"/>
      <c r="H110" s="228"/>
      <c r="I110" s="228"/>
      <c r="J110" s="105"/>
    </row>
    <row r="111" spans="1:10" ht="15" customHeight="1" x14ac:dyDescent="0.25">
      <c r="A111" s="1"/>
      <c r="B111" s="24"/>
      <c r="C111" s="228" t="s">
        <v>56</v>
      </c>
      <c r="D111" s="258"/>
      <c r="E111" s="258"/>
      <c r="F111" s="80"/>
      <c r="G111" s="80"/>
      <c r="H111" s="228"/>
      <c r="I111" s="228"/>
      <c r="J111" s="105"/>
    </row>
    <row r="112" spans="1:10" ht="12" customHeight="1" x14ac:dyDescent="0.2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25">
      <c r="A113" s="1"/>
      <c r="B113" s="101"/>
      <c r="C113" s="1" t="s">
        <v>115</v>
      </c>
      <c r="D113" s="228"/>
      <c r="E113" s="228"/>
      <c r="F113" s="228"/>
      <c r="G113" s="228"/>
      <c r="H113" s="228"/>
      <c r="I113" s="101"/>
      <c r="J113" s="101" t="s">
        <v>115</v>
      </c>
    </row>
    <row r="114" spans="1:10" ht="14.25" customHeight="1" x14ac:dyDescent="0.25">
      <c r="A114" s="1"/>
      <c r="B114" s="101"/>
      <c r="C114" s="101" t="s">
        <v>115</v>
      </c>
      <c r="D114" s="101" t="s">
        <v>115</v>
      </c>
      <c r="E114" s="101"/>
      <c r="F114" s="101"/>
      <c r="G114" s="101"/>
      <c r="H114" s="101"/>
      <c r="I114" s="101"/>
      <c r="J114" s="101" t="s">
        <v>115</v>
      </c>
    </row>
    <row r="115" spans="1:10" ht="17.100000000000001" customHeight="1" x14ac:dyDescent="0.25">
      <c r="A115" s="218"/>
      <c r="B115" s="218"/>
      <c r="C115" s="219" t="s">
        <v>57</v>
      </c>
      <c r="D115" s="218"/>
      <c r="E115" s="218"/>
      <c r="F115" s="218"/>
      <c r="G115" s="218"/>
      <c r="H115" s="218"/>
      <c r="I115" s="218"/>
      <c r="J115" s="218"/>
    </row>
    <row r="116" spans="1:10" ht="3" customHeight="1" x14ac:dyDescent="0.25">
      <c r="A116" s="218"/>
      <c r="B116" s="218"/>
      <c r="C116" s="219"/>
      <c r="D116" s="218"/>
      <c r="E116" s="218"/>
      <c r="F116" s="218"/>
      <c r="G116" s="218"/>
      <c r="H116" s="218"/>
      <c r="I116" s="218"/>
      <c r="J116" s="218"/>
    </row>
    <row r="117" spans="1:10" ht="14.1" customHeight="1" x14ac:dyDescent="0.2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2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4"/>
    </row>
    <row r="119" spans="1:10" ht="14.1" customHeight="1" x14ac:dyDescent="0.25">
      <c r="A119" s="1"/>
      <c r="B119" s="254"/>
      <c r="C119" s="115" t="s">
        <v>6</v>
      </c>
      <c r="D119" s="114">
        <v>209323</v>
      </c>
      <c r="E119" s="99" t="s">
        <v>4</v>
      </c>
      <c r="F119" s="114">
        <v>75860</v>
      </c>
      <c r="G119" s="115" t="s">
        <v>5</v>
      </c>
      <c r="H119" s="114">
        <v>8570</v>
      </c>
      <c r="I119" s="178"/>
      <c r="J119" s="244"/>
    </row>
    <row r="120" spans="1:10" ht="14.1" customHeight="1" x14ac:dyDescent="0.25">
      <c r="A120" s="1"/>
      <c r="B120" s="254"/>
      <c r="C120" s="115" t="s">
        <v>9</v>
      </c>
      <c r="D120" s="117">
        <v>12100</v>
      </c>
      <c r="E120" s="115" t="s">
        <v>7</v>
      </c>
      <c r="F120" s="117">
        <v>77910</v>
      </c>
      <c r="G120" s="115" t="s">
        <v>8</v>
      </c>
      <c r="H120" s="117">
        <v>58433</v>
      </c>
      <c r="I120" s="178"/>
      <c r="J120" s="244"/>
    </row>
    <row r="121" spans="1:10" ht="14.1" customHeight="1" x14ac:dyDescent="0.25">
      <c r="A121" s="1"/>
      <c r="B121" s="254"/>
      <c r="C121" s="248" t="s">
        <v>58</v>
      </c>
      <c r="D121" s="117">
        <v>1700</v>
      </c>
      <c r="E121" s="115" t="s">
        <v>59</v>
      </c>
      <c r="F121" s="117">
        <v>51257</v>
      </c>
      <c r="G121" s="115" t="s">
        <v>11</v>
      </c>
      <c r="H121" s="117">
        <v>11114</v>
      </c>
      <c r="I121" s="178"/>
      <c r="J121" s="244"/>
    </row>
    <row r="122" spans="1:10" ht="14.1" customHeight="1" x14ac:dyDescent="0.25">
      <c r="A122" s="1"/>
      <c r="B122" s="153"/>
      <c r="C122" s="165"/>
      <c r="D122" s="191"/>
      <c r="E122" s="191" t="s">
        <v>60</v>
      </c>
      <c r="F122" s="117">
        <v>4296</v>
      </c>
      <c r="G122" s="115"/>
      <c r="H122" s="165"/>
      <c r="I122" s="178"/>
      <c r="J122" s="244"/>
    </row>
    <row r="123" spans="1:10" ht="12" customHeight="1" x14ac:dyDescent="0.25">
      <c r="A123" s="1"/>
      <c r="B123" s="254"/>
      <c r="C123" s="177" t="s">
        <v>49</v>
      </c>
      <c r="D123" s="213">
        <v>223123</v>
      </c>
      <c r="E123" s="112" t="s">
        <v>14</v>
      </c>
      <c r="F123" s="189">
        <v>209323</v>
      </c>
      <c r="G123" s="177" t="s">
        <v>7</v>
      </c>
      <c r="H123" s="189">
        <v>77910</v>
      </c>
      <c r="I123" s="178"/>
      <c r="J123" s="244"/>
    </row>
    <row r="124" spans="1:10" ht="12" customHeight="1" x14ac:dyDescent="0.25">
      <c r="A124" s="101"/>
      <c r="B124" s="24"/>
      <c r="C124" s="101" t="s">
        <v>116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41"/>
      <c r="C125" s="272"/>
      <c r="D125" s="272"/>
      <c r="E125" s="233"/>
      <c r="F125" s="233"/>
      <c r="G125" s="233"/>
      <c r="H125" s="233"/>
      <c r="I125" s="233"/>
      <c r="J125" s="245"/>
    </row>
    <row r="126" spans="1:10" ht="25.5" customHeight="1" x14ac:dyDescent="0.25">
      <c r="A126" s="1"/>
      <c r="B126" s="254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25">
      <c r="A127" s="156"/>
      <c r="B127" s="52"/>
      <c r="C127" s="264" t="s">
        <v>16</v>
      </c>
      <c r="D127" s="15" t="s">
        <v>17</v>
      </c>
      <c r="E127" s="15" t="s">
        <v>61</v>
      </c>
      <c r="F127" s="15" t="s">
        <v>146</v>
      </c>
      <c r="G127" s="15" t="s">
        <v>147</v>
      </c>
      <c r="H127" s="15" t="s">
        <v>148</v>
      </c>
      <c r="I127" s="15" t="s">
        <v>149</v>
      </c>
      <c r="J127" s="280"/>
    </row>
    <row r="128" spans="1:10" ht="14.1" customHeight="1" x14ac:dyDescent="0.25">
      <c r="A128" s="1"/>
      <c r="B128" s="254"/>
      <c r="C128" s="16" t="s">
        <v>62</v>
      </c>
      <c r="D128" s="28">
        <f>D129+D130+D131</f>
        <v>75860</v>
      </c>
      <c r="E128" s="28">
        <f>E129+E130+E131</f>
        <v>72307</v>
      </c>
      <c r="F128" s="11">
        <f t="shared" ref="F128:I128" si="13">F129+F130+F131</f>
        <v>572.76523999999995</v>
      </c>
      <c r="G128" s="11">
        <f t="shared" si="13"/>
        <v>44422.287369999998</v>
      </c>
      <c r="H128" s="11">
        <f t="shared" si="13"/>
        <v>27884.712630000002</v>
      </c>
      <c r="I128" s="11">
        <f t="shared" si="13"/>
        <v>49222.010309999998</v>
      </c>
      <c r="J128" s="244"/>
    </row>
    <row r="129" spans="1:10" ht="14.1" customHeight="1" x14ac:dyDescent="0.25">
      <c r="A129" s="1"/>
      <c r="B129" s="254"/>
      <c r="C129" s="44" t="s">
        <v>20</v>
      </c>
      <c r="D129" s="45">
        <v>60688</v>
      </c>
      <c r="E129" s="45">
        <v>57562</v>
      </c>
      <c r="F129" s="23">
        <f>494.7453</f>
        <v>494.74529999999999</v>
      </c>
      <c r="G129" s="23">
        <f>38911.21277</f>
        <v>38911.212769999998</v>
      </c>
      <c r="H129" s="23">
        <f>E129-G129</f>
        <v>18650.787230000002</v>
      </c>
      <c r="I129" s="23">
        <f>43491.17811</f>
        <v>43491.178110000001</v>
      </c>
      <c r="J129" s="244"/>
    </row>
    <row r="130" spans="1:10" ht="15" customHeight="1" x14ac:dyDescent="0.25">
      <c r="A130" s="1"/>
      <c r="B130" s="254"/>
      <c r="C130" s="44" t="s">
        <v>21</v>
      </c>
      <c r="D130" s="45">
        <v>14672</v>
      </c>
      <c r="E130" s="45">
        <v>14245</v>
      </c>
      <c r="F130" s="23">
        <f>78.01994</f>
        <v>78.019940000000005</v>
      </c>
      <c r="G130" s="23">
        <f>5445.34745</f>
        <v>5445.3474500000002</v>
      </c>
      <c r="H130" s="23">
        <f>E130-G130</f>
        <v>8799.6525499999989</v>
      </c>
      <c r="I130" s="23">
        <f>5613.58915</f>
        <v>5613.5891499999998</v>
      </c>
      <c r="J130" s="244"/>
    </row>
    <row r="131" spans="1:10" ht="13.5" customHeight="1" x14ac:dyDescent="0.25">
      <c r="A131" s="1"/>
      <c r="B131" s="254"/>
      <c r="C131" s="48" t="s">
        <v>63</v>
      </c>
      <c r="D131" s="33">
        <v>500</v>
      </c>
      <c r="E131" s="33">
        <v>500</v>
      </c>
      <c r="F131" s="23">
        <f>0</f>
        <v>0</v>
      </c>
      <c r="G131" s="23">
        <f>65.72715</f>
        <v>65.727149999999995</v>
      </c>
      <c r="H131" s="55">
        <f>E131-G131</f>
        <v>434.27285000000001</v>
      </c>
      <c r="I131" s="23">
        <f>117.24305</f>
        <v>117.24305</v>
      </c>
      <c r="J131" s="244"/>
    </row>
    <row r="132" spans="1:10" ht="14.25" customHeight="1" x14ac:dyDescent="0.25">
      <c r="A132" s="67"/>
      <c r="B132" s="78"/>
      <c r="C132" s="88" t="s">
        <v>64</v>
      </c>
      <c r="D132" s="91">
        <v>51257</v>
      </c>
      <c r="E132" s="91">
        <v>52496</v>
      </c>
      <c r="F132" s="95">
        <f>588.619</f>
        <v>588.61900000000003</v>
      </c>
      <c r="G132" s="95">
        <f>15942.2268+5165.42263</f>
        <v>21107.649430000001</v>
      </c>
      <c r="H132" s="95">
        <f>E132-G132</f>
        <v>31388.350569999999</v>
      </c>
      <c r="I132" s="95">
        <f>38147.56518</f>
        <v>38147.565179999998</v>
      </c>
      <c r="J132" s="116"/>
    </row>
    <row r="133" spans="1:10" ht="15.75" customHeight="1" x14ac:dyDescent="0.25">
      <c r="A133" s="1"/>
      <c r="B133" s="254"/>
      <c r="C133" s="142" t="s">
        <v>22</v>
      </c>
      <c r="D133" s="143">
        <f>D134+D139+D142</f>
        <v>79534</v>
      </c>
      <c r="E133" s="143">
        <f>E134+E139+E142</f>
        <v>80165</v>
      </c>
      <c r="F133" s="94">
        <f>F134+F139+F142</f>
        <v>1098.57656</v>
      </c>
      <c r="G133" s="94">
        <f t="shared" ref="G133" si="14">G134+G139+G142</f>
        <v>54835.452710000005</v>
      </c>
      <c r="H133" s="94">
        <f>H134+H139+H142</f>
        <v>25329.547289999999</v>
      </c>
      <c r="I133" s="94">
        <f>I134+I139+I142</f>
        <v>63689.998800000001</v>
      </c>
      <c r="J133" s="120"/>
    </row>
    <row r="134" spans="1:10" ht="14.1" customHeight="1" x14ac:dyDescent="0.25">
      <c r="A134" s="1"/>
      <c r="B134" s="52"/>
      <c r="C134" s="121" t="s">
        <v>65</v>
      </c>
      <c r="D134" s="122">
        <f>D135+D136+D137+D138</f>
        <v>60057</v>
      </c>
      <c r="E134" s="122">
        <f>E135+E136+E137+E138</f>
        <v>59079</v>
      </c>
      <c r="F134" s="125">
        <f>F135+F136+F137+F138</f>
        <v>956.10960999999998</v>
      </c>
      <c r="G134" s="125">
        <f>G135+G136+G138+G137</f>
        <v>40550.761710000006</v>
      </c>
      <c r="H134" s="125">
        <f>H135+H136+H137+H138</f>
        <v>18528.238289999998</v>
      </c>
      <c r="I134" s="125">
        <f>I135+I136+I137+I138</f>
        <v>50473.478709999996</v>
      </c>
      <c r="J134" s="280"/>
    </row>
    <row r="135" spans="1:10" ht="14.1" customHeight="1" x14ac:dyDescent="0.25">
      <c r="A135" s="197"/>
      <c r="B135" s="126"/>
      <c r="C135" s="62" t="s">
        <v>24</v>
      </c>
      <c r="D135" s="63">
        <v>15960</v>
      </c>
      <c r="E135" s="63">
        <v>17774</v>
      </c>
      <c r="F135" s="127">
        <f>295.46996</f>
        <v>295.46996000000001</v>
      </c>
      <c r="G135" s="127">
        <v>8996.8100599999998</v>
      </c>
      <c r="H135" s="127">
        <f>E135-G135</f>
        <v>8777.1899400000002</v>
      </c>
      <c r="I135" s="127">
        <f>7954.78603</f>
        <v>7954.7860300000002</v>
      </c>
      <c r="J135" s="128"/>
    </row>
    <row r="136" spans="1:10" ht="14.1" customHeight="1" x14ac:dyDescent="0.25">
      <c r="A136" s="197"/>
      <c r="B136" s="182"/>
      <c r="C136" s="62" t="s">
        <v>51</v>
      </c>
      <c r="D136" s="63">
        <v>16404</v>
      </c>
      <c r="E136" s="63">
        <v>14939</v>
      </c>
      <c r="F136" s="127">
        <f>271.56067</f>
        <v>271.56067000000002</v>
      </c>
      <c r="G136" s="127">
        <v>11963.447085000002</v>
      </c>
      <c r="H136" s="127">
        <f>E136-G136</f>
        <v>2975.5529149999984</v>
      </c>
      <c r="I136" s="127">
        <f>13172.25444</f>
        <v>13172.254440000001</v>
      </c>
      <c r="J136" s="129"/>
    </row>
    <row r="137" spans="1:10" ht="14.1" customHeight="1" x14ac:dyDescent="0.25">
      <c r="A137" s="197"/>
      <c r="B137" s="182"/>
      <c r="C137" s="62" t="s">
        <v>52</v>
      </c>
      <c r="D137" s="63">
        <v>14385</v>
      </c>
      <c r="E137" s="63">
        <v>13051</v>
      </c>
      <c r="F137" s="127">
        <f>40.19938</f>
        <v>40.199379999999998</v>
      </c>
      <c r="G137" s="127">
        <v>9887.5506450000012</v>
      </c>
      <c r="H137" s="127">
        <f>E137-G137</f>
        <v>3163.4493549999988</v>
      </c>
      <c r="I137" s="127">
        <f>16215.22603</f>
        <v>16215.22603</v>
      </c>
      <c r="J137" s="129"/>
    </row>
    <row r="138" spans="1:10" ht="14.1" customHeight="1" x14ac:dyDescent="0.25">
      <c r="A138" s="197"/>
      <c r="B138" s="182"/>
      <c r="C138" s="62" t="s">
        <v>27</v>
      </c>
      <c r="D138" s="63">
        <v>13308</v>
      </c>
      <c r="E138" s="63">
        <v>13315</v>
      </c>
      <c r="F138" s="127">
        <f>348.8796</f>
        <v>348.87959999999998</v>
      </c>
      <c r="G138" s="127">
        <v>9702.9539199999999</v>
      </c>
      <c r="H138" s="127">
        <f>E138-G138</f>
        <v>3612.0460800000001</v>
      </c>
      <c r="I138" s="127">
        <f>13131.21221</f>
        <v>13131.21221</v>
      </c>
      <c r="J138" s="129"/>
    </row>
    <row r="139" spans="1:10" ht="14.1" customHeight="1" x14ac:dyDescent="0.25">
      <c r="A139" s="66"/>
      <c r="B139" s="53"/>
      <c r="C139" s="56" t="s">
        <v>29</v>
      </c>
      <c r="D139" s="58">
        <f>D140+D141</f>
        <v>8570</v>
      </c>
      <c r="E139" s="58">
        <f>E140+E141</f>
        <v>8930</v>
      </c>
      <c r="F139" s="132">
        <f>SUM(F140:F141)</f>
        <v>3.2652000000000001</v>
      </c>
      <c r="G139" s="132">
        <f>SUM(G140:G141)</f>
        <v>8892.4980699999996</v>
      </c>
      <c r="H139" s="132">
        <f>H140+H141</f>
        <v>37.501930000000357</v>
      </c>
      <c r="I139" s="132">
        <f>SUM(I140:I141)</f>
        <v>7018.1041599999999</v>
      </c>
      <c r="J139" s="133"/>
    </row>
    <row r="140" spans="1:10" ht="14.1" customHeight="1" x14ac:dyDescent="0.25">
      <c r="A140" s="1"/>
      <c r="B140" s="254"/>
      <c r="C140" s="62" t="s">
        <v>66</v>
      </c>
      <c r="D140" s="63">
        <v>8070</v>
      </c>
      <c r="E140" s="63">
        <v>8430</v>
      </c>
      <c r="F140" s="127">
        <f>0</f>
        <v>0</v>
      </c>
      <c r="G140" s="127">
        <f>8461.14568</f>
        <v>8461.1456799999996</v>
      </c>
      <c r="H140" s="127">
        <f t="shared" ref="H140:H148" si="15">E140-G140</f>
        <v>-31.145679999999629</v>
      </c>
      <c r="I140" s="127">
        <f>6776.22155</f>
        <v>6776.2215500000002</v>
      </c>
      <c r="J140" s="120"/>
    </row>
    <row r="141" spans="1:10" ht="15" customHeight="1" x14ac:dyDescent="0.25">
      <c r="A141" s="1"/>
      <c r="B141" s="53"/>
      <c r="C141" s="62" t="s">
        <v>67</v>
      </c>
      <c r="D141" s="63">
        <v>500</v>
      </c>
      <c r="E141" s="63">
        <v>500</v>
      </c>
      <c r="F141" s="127">
        <f>3.2652</f>
        <v>3.2652000000000001</v>
      </c>
      <c r="G141" s="127">
        <f>431.35239</f>
        <v>431.35239000000001</v>
      </c>
      <c r="H141" s="127">
        <f t="shared" si="15"/>
        <v>68.647609999999986</v>
      </c>
      <c r="I141" s="127">
        <f>241.88261</f>
        <v>241.88261</v>
      </c>
      <c r="J141" s="134"/>
    </row>
    <row r="142" spans="1:10" ht="15.75" customHeight="1" x14ac:dyDescent="0.25">
      <c r="A142" s="1"/>
      <c r="B142" s="254"/>
      <c r="C142" s="38" t="s">
        <v>11</v>
      </c>
      <c r="D142" s="61">
        <v>10907</v>
      </c>
      <c r="E142" s="61">
        <v>12156</v>
      </c>
      <c r="F142" s="75">
        <f>139.20175</f>
        <v>139.20175</v>
      </c>
      <c r="G142" s="75">
        <f>5392.19293</f>
        <v>5392.1929300000002</v>
      </c>
      <c r="H142" s="75">
        <f t="shared" si="15"/>
        <v>6763.8070699999998</v>
      </c>
      <c r="I142" s="75">
        <f>6198.41593</f>
        <v>6198.4159300000001</v>
      </c>
      <c r="J142" s="120"/>
    </row>
    <row r="143" spans="1:10" ht="15.75" customHeight="1" x14ac:dyDescent="0.25">
      <c r="A143" s="1"/>
      <c r="B143" s="254"/>
      <c r="C143" s="142" t="s">
        <v>34</v>
      </c>
      <c r="D143" s="143">
        <v>146</v>
      </c>
      <c r="E143" s="143">
        <v>146</v>
      </c>
      <c r="F143" s="139">
        <f>0</f>
        <v>0</v>
      </c>
      <c r="G143" s="139">
        <f>15.71255</f>
        <v>15.71255</v>
      </c>
      <c r="H143" s="139">
        <f t="shared" si="15"/>
        <v>130.28745000000001</v>
      </c>
      <c r="I143" s="139">
        <f>31.4675</f>
        <v>31.467500000000001</v>
      </c>
      <c r="J143" s="120"/>
    </row>
    <row r="144" spans="1:10" ht="15.75" customHeight="1" x14ac:dyDescent="0.25">
      <c r="A144" s="1"/>
      <c r="B144" s="254"/>
      <c r="C144" s="140" t="s">
        <v>68</v>
      </c>
      <c r="D144" s="89">
        <v>250</v>
      </c>
      <c r="E144" s="89">
        <v>250</v>
      </c>
      <c r="F144" s="98">
        <f>0</f>
        <v>0</v>
      </c>
      <c r="G144" s="98">
        <f>256.036</f>
        <v>256.036</v>
      </c>
      <c r="H144" s="98">
        <f t="shared" si="15"/>
        <v>-6.0360000000000014</v>
      </c>
      <c r="I144" s="98">
        <f>262.581</f>
        <v>262.58100000000002</v>
      </c>
      <c r="J144" s="120"/>
    </row>
    <row r="145" spans="1:10" ht="18" customHeight="1" x14ac:dyDescent="0.25">
      <c r="A145" s="1"/>
      <c r="B145" s="254"/>
      <c r="C145" s="140" t="s">
        <v>69</v>
      </c>
      <c r="D145" s="143">
        <v>2000</v>
      </c>
      <c r="E145" s="143">
        <v>2000</v>
      </c>
      <c r="F145" s="139">
        <f>2.32325</f>
        <v>2.3232499999999998</v>
      </c>
      <c r="G145" s="139">
        <f>E145</f>
        <v>2000</v>
      </c>
      <c r="H145" s="139">
        <f t="shared" si="15"/>
        <v>0</v>
      </c>
      <c r="I145" s="139">
        <f>E145</f>
        <v>2000</v>
      </c>
      <c r="J145" s="244"/>
    </row>
    <row r="146" spans="1:10" ht="15.75" customHeight="1" x14ac:dyDescent="0.25">
      <c r="A146" s="1"/>
      <c r="B146" s="254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5"/>
        <v>0</v>
      </c>
      <c r="I146" s="139"/>
      <c r="J146" s="120"/>
    </row>
    <row r="147" spans="1:10" ht="15.75" customHeight="1" x14ac:dyDescent="0.25">
      <c r="A147" s="1"/>
      <c r="B147" s="254"/>
      <c r="C147" s="142" t="s">
        <v>70</v>
      </c>
      <c r="D147" s="143">
        <v>276</v>
      </c>
      <c r="E147" s="143">
        <v>276</v>
      </c>
      <c r="F147" s="98">
        <f>1.3243</f>
        <v>1.3243</v>
      </c>
      <c r="G147" s="98">
        <f>46.72741</f>
        <v>46.727409999999999</v>
      </c>
      <c r="H147" s="139">
        <f t="shared" si="15"/>
        <v>229.27259000000001</v>
      </c>
      <c r="I147" s="98">
        <f>27.66843</f>
        <v>27.668430000000001</v>
      </c>
      <c r="J147" s="120"/>
    </row>
    <row r="148" spans="1:10" ht="15" customHeight="1" x14ac:dyDescent="0.25">
      <c r="A148" s="1"/>
      <c r="B148" s="254"/>
      <c r="C148" s="142" t="s">
        <v>39</v>
      </c>
      <c r="D148" s="145"/>
      <c r="E148" s="143"/>
      <c r="F148" s="139">
        <f>1.384</f>
        <v>1.3839999999999999</v>
      </c>
      <c r="G148" s="139">
        <f>118.01464</f>
        <v>118.01464</v>
      </c>
      <c r="H148" s="139">
        <f t="shared" si="15"/>
        <v>-118.01464</v>
      </c>
      <c r="I148" s="139">
        <f>104.37093</f>
        <v>104.37093</v>
      </c>
      <c r="J148" s="120"/>
    </row>
    <row r="149" spans="1:10" ht="0" hidden="1" customHeight="1" x14ac:dyDescent="0.2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25">
      <c r="A150" s="156"/>
      <c r="B150" s="52"/>
      <c r="C150" s="158" t="s">
        <v>40</v>
      </c>
      <c r="D150" s="76">
        <f t="shared" ref="D150:E150" si="16">D128+D132+D133+D143+D144+D145+D146+D147+D148</f>
        <v>209323</v>
      </c>
      <c r="E150" s="76">
        <f t="shared" si="16"/>
        <v>207640</v>
      </c>
      <c r="F150" s="76">
        <f>F128+F132+F133+F143+F144+F145+F146+F147+F148</f>
        <v>2264.99235</v>
      </c>
      <c r="G150" s="76">
        <f>G128+G132+G133+G143+G144+G145+G146+G147+G148</f>
        <v>122801.88011</v>
      </c>
      <c r="H150" s="76">
        <f>H128+H132+H133+H143+H144+H145+H146+H147+H148</f>
        <v>84838.119890000016</v>
      </c>
      <c r="I150" s="76">
        <f>I128+I132+I133+I143+I144+I145+I146+I147+I148</f>
        <v>153485.66214999999</v>
      </c>
      <c r="J150" s="160"/>
    </row>
    <row r="151" spans="1:10" ht="14.25" customHeight="1" x14ac:dyDescent="0.25">
      <c r="A151" s="156"/>
      <c r="B151" s="52"/>
      <c r="C151" s="161" t="s">
        <v>71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25">
      <c r="A152" s="156"/>
      <c r="B152" s="52"/>
      <c r="C152" s="101" t="s">
        <v>133</v>
      </c>
      <c r="D152" s="119"/>
      <c r="E152" s="119"/>
      <c r="F152" s="119"/>
      <c r="G152" s="119"/>
      <c r="H152" s="163"/>
      <c r="I152" s="156"/>
      <c r="J152" s="280"/>
    </row>
    <row r="153" spans="1:10" ht="14.25" customHeight="1" x14ac:dyDescent="0.25">
      <c r="A153" s="156"/>
      <c r="B153" s="52"/>
      <c r="C153" s="161" t="s">
        <v>150</v>
      </c>
      <c r="D153" s="119"/>
      <c r="E153" s="119"/>
      <c r="F153" s="119"/>
      <c r="G153" s="119"/>
      <c r="H153" s="163"/>
      <c r="I153" s="156"/>
      <c r="J153" s="280"/>
    </row>
    <row r="154" spans="1:10" ht="14.25" customHeight="1" x14ac:dyDescent="0.25">
      <c r="A154" s="156"/>
      <c r="B154" s="52"/>
      <c r="C154" s="77" t="s">
        <v>144</v>
      </c>
      <c r="D154" s="119"/>
      <c r="E154" s="119"/>
      <c r="F154" s="119"/>
      <c r="G154" s="119"/>
      <c r="H154" s="163"/>
      <c r="I154" s="163"/>
      <c r="J154" s="280"/>
    </row>
    <row r="155" spans="1:10" ht="15.75" customHeight="1" x14ac:dyDescent="0.25">
      <c r="A155" s="156"/>
      <c r="B155" s="52"/>
      <c r="C155" s="161" t="s">
        <v>72</v>
      </c>
      <c r="D155" s="119"/>
      <c r="E155" s="119"/>
      <c r="F155" s="119"/>
      <c r="G155" s="119"/>
      <c r="H155" s="163"/>
      <c r="I155" s="163"/>
      <c r="J155" s="280"/>
    </row>
    <row r="156" spans="1:10" ht="15.75" customHeight="1" x14ac:dyDescent="0.25">
      <c r="A156" s="156"/>
      <c r="B156" s="52"/>
      <c r="C156" s="77" t="s">
        <v>134</v>
      </c>
      <c r="D156" s="119"/>
      <c r="E156" s="119"/>
      <c r="F156" s="119"/>
      <c r="G156" s="119"/>
      <c r="H156" s="163"/>
      <c r="I156" s="163"/>
      <c r="J156" s="280"/>
    </row>
    <row r="157" spans="1:10" ht="12" customHeight="1" x14ac:dyDescent="0.2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2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2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2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99.75" customHeight="1" x14ac:dyDescent="0.2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25">
      <c r="A162" s="1" t="s">
        <v>115</v>
      </c>
      <c r="B162" s="2"/>
      <c r="C162" s="219" t="s">
        <v>73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9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115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" customHeight="1" x14ac:dyDescent="0.25">
      <c r="A165" s="1" t="s">
        <v>115</v>
      </c>
      <c r="B165" s="254"/>
      <c r="C165" s="149" t="s">
        <v>1</v>
      </c>
      <c r="D165" s="185"/>
      <c r="E165" s="281"/>
      <c r="F165" s="281"/>
      <c r="G165" s="281"/>
      <c r="H165" s="1"/>
      <c r="I165" s="1"/>
      <c r="J165" s="120"/>
    </row>
    <row r="166" spans="1:10" ht="14.1" customHeight="1" x14ac:dyDescent="0.25">
      <c r="A166" s="1"/>
      <c r="B166" s="254"/>
      <c r="C166" s="177" t="s">
        <v>6</v>
      </c>
      <c r="D166" s="189">
        <v>10823</v>
      </c>
      <c r="E166" s="281"/>
      <c r="F166" s="281"/>
      <c r="G166" s="281"/>
      <c r="H166" s="1"/>
      <c r="I166" s="1"/>
      <c r="J166" s="120"/>
    </row>
    <row r="167" spans="1:10" ht="14.1" customHeight="1" x14ac:dyDescent="0.25">
      <c r="A167" s="1"/>
      <c r="B167" s="254"/>
      <c r="C167" s="177" t="s">
        <v>9</v>
      </c>
      <c r="D167" s="189">
        <f>8888 + 750</f>
        <v>9638</v>
      </c>
      <c r="E167" s="281"/>
      <c r="F167" s="281"/>
      <c r="G167" s="235"/>
      <c r="H167" s="1"/>
      <c r="I167" s="1"/>
      <c r="J167" s="120"/>
    </row>
    <row r="168" spans="1:10" ht="14.1" customHeight="1" x14ac:dyDescent="0.25">
      <c r="A168" s="1"/>
      <c r="B168" s="254"/>
      <c r="C168" s="177" t="s">
        <v>74</v>
      </c>
      <c r="D168" s="189">
        <v>790</v>
      </c>
      <c r="E168" s="281"/>
      <c r="F168" s="281"/>
      <c r="G168" s="281"/>
      <c r="H168" s="1"/>
      <c r="I168" s="1"/>
      <c r="J168" s="120"/>
    </row>
    <row r="169" spans="1:10" ht="14.1" customHeight="1" x14ac:dyDescent="0.25">
      <c r="A169" s="1"/>
      <c r="B169" s="254"/>
      <c r="C169" s="177" t="s">
        <v>49</v>
      </c>
      <c r="D169" s="189">
        <f>SUM(D166:D168)</f>
        <v>21251</v>
      </c>
      <c r="E169" s="281"/>
      <c r="F169" s="281"/>
      <c r="G169" s="281"/>
      <c r="H169" s="1"/>
      <c r="I169" s="1"/>
      <c r="J169" s="120"/>
    </row>
    <row r="170" spans="1:10" ht="14.1" customHeight="1" x14ac:dyDescent="0.25">
      <c r="A170" s="1"/>
      <c r="B170" s="254"/>
      <c r="C170" s="1"/>
      <c r="D170" s="47"/>
      <c r="E170" s="281"/>
      <c r="F170" s="281"/>
      <c r="G170" s="281"/>
      <c r="H170" s="1"/>
      <c r="I170" s="1"/>
      <c r="J170" s="120"/>
    </row>
    <row r="171" spans="1:10" ht="3.75" customHeight="1" x14ac:dyDescent="0.25">
      <c r="A171" s="1"/>
      <c r="B171" s="241"/>
      <c r="C171" s="159"/>
      <c r="D171" s="159"/>
      <c r="E171" s="267"/>
      <c r="F171" s="267"/>
      <c r="G171" s="267"/>
      <c r="H171" s="233"/>
      <c r="I171" s="233"/>
      <c r="J171" s="245"/>
    </row>
    <row r="172" spans="1:10" ht="24.75" customHeight="1" x14ac:dyDescent="0.25">
      <c r="A172" s="1"/>
      <c r="B172" s="254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25">
      <c r="A173" s="1"/>
      <c r="B173" s="198"/>
      <c r="C173" s="224"/>
      <c r="D173" s="224"/>
      <c r="E173" s="224"/>
      <c r="F173" s="224"/>
      <c r="G173" s="224"/>
      <c r="H173" s="224"/>
      <c r="I173" s="224"/>
      <c r="J173" s="13"/>
    </row>
    <row r="174" spans="1:10" ht="61.5" customHeight="1" x14ac:dyDescent="0.25">
      <c r="A174" s="156"/>
      <c r="B174" s="52"/>
      <c r="C174" s="15" t="s">
        <v>16</v>
      </c>
      <c r="D174" s="175" t="s">
        <v>2</v>
      </c>
      <c r="E174" s="15" t="s">
        <v>146</v>
      </c>
      <c r="F174" s="15" t="s">
        <v>147</v>
      </c>
      <c r="G174" s="54" t="s">
        <v>148</v>
      </c>
      <c r="H174" s="15" t="s">
        <v>149</v>
      </c>
      <c r="I174" s="156"/>
      <c r="J174" s="280"/>
    </row>
    <row r="175" spans="1:10" ht="14.1" customHeight="1" x14ac:dyDescent="0.25">
      <c r="A175" s="1"/>
      <c r="B175" s="254"/>
      <c r="C175" s="141" t="s">
        <v>75</v>
      </c>
      <c r="D175" s="94">
        <v>4223</v>
      </c>
      <c r="E175" s="276">
        <f>12.86615</f>
        <v>12.866149999999999</v>
      </c>
      <c r="F175" s="276">
        <f>867.70005</f>
        <v>867.70005000000003</v>
      </c>
      <c r="G175" s="43">
        <f>D175-F175-F176</f>
        <v>1979.0280400000001</v>
      </c>
      <c r="H175" s="276">
        <f>1431.28146</f>
        <v>1431.2814599999999</v>
      </c>
      <c r="I175" s="1"/>
      <c r="J175" s="120"/>
    </row>
    <row r="176" spans="1:10" ht="14.1" customHeight="1" x14ac:dyDescent="0.25">
      <c r="A176" s="1"/>
      <c r="B176" s="254"/>
      <c r="C176" s="137" t="s">
        <v>53</v>
      </c>
      <c r="D176" s="181"/>
      <c r="E176" s="152">
        <f>0</f>
        <v>0</v>
      </c>
      <c r="F176" s="152">
        <f>1376.27191</f>
        <v>1376.2719099999999</v>
      </c>
      <c r="G176" s="217"/>
      <c r="H176" s="152">
        <f>1677.92714</f>
        <v>1677.92714</v>
      </c>
      <c r="I176" s="1"/>
      <c r="J176" s="120"/>
    </row>
    <row r="177" spans="1:10" ht="15.6" customHeight="1" x14ac:dyDescent="0.25">
      <c r="A177" s="1"/>
      <c r="B177" s="254"/>
      <c r="C177" s="169" t="s">
        <v>76</v>
      </c>
      <c r="D177" s="98">
        <v>200</v>
      </c>
      <c r="E177" s="172">
        <f>0</f>
        <v>0</v>
      </c>
      <c r="F177" s="172">
        <f>88.90728</f>
        <v>88.90728</v>
      </c>
      <c r="G177" s="172">
        <f>D177-F177</f>
        <v>111.09272</v>
      </c>
      <c r="H177" s="172">
        <f>74.61014</f>
        <v>74.610140000000001</v>
      </c>
      <c r="I177" s="1"/>
      <c r="J177" s="120"/>
    </row>
    <row r="178" spans="1:10" ht="14.1" customHeight="1" x14ac:dyDescent="0.25">
      <c r="A178" s="67"/>
      <c r="B178" s="78"/>
      <c r="C178" s="180" t="s">
        <v>77</v>
      </c>
      <c r="D178" s="181">
        <v>6334</v>
      </c>
      <c r="E178" s="181">
        <f>E179+E180+E181</f>
        <v>12.311880000000002</v>
      </c>
      <c r="F178" s="181">
        <f>F179+F180+F181</f>
        <v>5921.9453299999996</v>
      </c>
      <c r="G178" s="181">
        <f>D178-F178</f>
        <v>412.05467000000044</v>
      </c>
      <c r="H178" s="181">
        <f>H179+H180+H181</f>
        <v>7963.5042899999999</v>
      </c>
      <c r="I178" s="67"/>
      <c r="J178" s="116"/>
    </row>
    <row r="179" spans="1:10" ht="14.1" customHeight="1" x14ac:dyDescent="0.25">
      <c r="A179" s="197"/>
      <c r="B179" s="182"/>
      <c r="C179" s="183" t="s">
        <v>78</v>
      </c>
      <c r="D179" s="127"/>
      <c r="E179" s="127">
        <f>3.20662</f>
        <v>3.20662</v>
      </c>
      <c r="F179" s="127">
        <f>3086.07842</f>
        <v>3086.0784199999998</v>
      </c>
      <c r="G179" s="127"/>
      <c r="H179" s="127">
        <f>4154.05747</f>
        <v>4154.0574699999997</v>
      </c>
      <c r="I179" s="186"/>
      <c r="J179" s="129"/>
    </row>
    <row r="180" spans="1:10" ht="14.1" customHeight="1" x14ac:dyDescent="0.25">
      <c r="A180" s="197"/>
      <c r="B180" s="182"/>
      <c r="C180" s="183" t="s">
        <v>79</v>
      </c>
      <c r="D180" s="127"/>
      <c r="E180" s="127">
        <f>6.42689</f>
        <v>6.4268900000000002</v>
      </c>
      <c r="F180" s="127">
        <f>1794.81395</f>
        <v>1794.81395</v>
      </c>
      <c r="G180" s="127"/>
      <c r="H180" s="127">
        <f>2418.78433</f>
        <v>2418.78433</v>
      </c>
      <c r="I180" s="186"/>
      <c r="J180" s="187"/>
    </row>
    <row r="181" spans="1:10" ht="14.1" customHeight="1" x14ac:dyDescent="0.25">
      <c r="A181" s="197"/>
      <c r="B181" s="182"/>
      <c r="C181" s="188" t="s">
        <v>80</v>
      </c>
      <c r="D181" s="192"/>
      <c r="E181" s="192">
        <f>2.67837</f>
        <v>2.6783700000000001</v>
      </c>
      <c r="F181" s="192">
        <f>1041.05296</f>
        <v>1041.05296</v>
      </c>
      <c r="G181" s="192"/>
      <c r="H181" s="192">
        <f>1390.66249</f>
        <v>1390.6624899999999</v>
      </c>
      <c r="I181" s="186"/>
      <c r="J181" s="187"/>
    </row>
    <row r="182" spans="1:10" ht="14.1" customHeight="1" x14ac:dyDescent="0.25">
      <c r="A182" s="1"/>
      <c r="B182" s="254"/>
      <c r="C182" s="73" t="s">
        <v>81</v>
      </c>
      <c r="D182" s="139">
        <v>66</v>
      </c>
      <c r="E182" s="139">
        <f>0</f>
        <v>0</v>
      </c>
      <c r="F182" s="139">
        <f>0</f>
        <v>0</v>
      </c>
      <c r="G182" s="139">
        <f>D182-F182</f>
        <v>66</v>
      </c>
      <c r="H182" s="139">
        <f>0</f>
        <v>0</v>
      </c>
      <c r="I182" s="178"/>
      <c r="J182" s="244"/>
    </row>
    <row r="183" spans="1:10" ht="16.5" customHeight="1" x14ac:dyDescent="0.25">
      <c r="A183" s="1"/>
      <c r="B183" s="254"/>
      <c r="C183" s="93" t="s">
        <v>82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4"/>
    </row>
    <row r="184" spans="1:10" ht="19.350000000000001" customHeight="1" x14ac:dyDescent="0.25">
      <c r="A184" s="156"/>
      <c r="B184" s="52"/>
      <c r="C184" s="74" t="s">
        <v>40</v>
      </c>
      <c r="D184" s="194">
        <f>D175+D177+D178+D182</f>
        <v>10823</v>
      </c>
      <c r="E184" s="194">
        <f>E175+E176+E177+E178+E182+E183</f>
        <v>25.17803</v>
      </c>
      <c r="F184" s="194">
        <f>F175+F176+F177+F178+F182+F183</f>
        <v>8254.8245699999989</v>
      </c>
      <c r="G184" s="194">
        <f>D184-F184</f>
        <v>2568.1754300000011</v>
      </c>
      <c r="H184" s="194">
        <f>H175+H176+H177+H178+H182+H183</f>
        <v>11147.32303</v>
      </c>
      <c r="I184" s="163"/>
      <c r="J184" s="160"/>
    </row>
    <row r="185" spans="1:10" ht="42" customHeight="1" x14ac:dyDescent="0.25">
      <c r="A185" s="1"/>
      <c r="B185" s="198"/>
      <c r="C185" s="227" t="s">
        <v>141</v>
      </c>
      <c r="D185" s="227"/>
      <c r="E185" s="227"/>
      <c r="F185" s="227"/>
      <c r="G185" s="227"/>
      <c r="H185" s="224"/>
      <c r="I185" s="224"/>
      <c r="J185" s="13"/>
    </row>
    <row r="186" spans="1:10" ht="12" customHeight="1" x14ac:dyDescent="0.25">
      <c r="A186" s="156" t="s">
        <v>115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2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25">
      <c r="A188" s="150" t="s">
        <v>115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35">
      <c r="A189" s="150"/>
      <c r="B189" s="1"/>
      <c r="C189" s="215" t="s">
        <v>83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35">
      <c r="A190" s="150" t="s">
        <v>115</v>
      </c>
      <c r="B190" s="1"/>
      <c r="C190" s="215"/>
      <c r="D190" s="170"/>
      <c r="E190" s="170"/>
      <c r="F190" s="170"/>
      <c r="G190" s="170"/>
      <c r="H190" s="1"/>
      <c r="I190" s="1"/>
      <c r="J190" s="1"/>
    </row>
    <row r="191" spans="1:10" ht="12" customHeight="1" x14ac:dyDescent="0.25">
      <c r="A191" s="150"/>
      <c r="B191" s="138"/>
      <c r="C191" s="226"/>
      <c r="D191" s="237"/>
      <c r="E191" s="237"/>
      <c r="F191" s="237"/>
      <c r="G191" s="237"/>
      <c r="H191" s="154"/>
      <c r="I191" s="154"/>
      <c r="J191" s="162"/>
    </row>
    <row r="192" spans="1:10" ht="15" customHeight="1" x14ac:dyDescent="0.25">
      <c r="A192" s="150"/>
      <c r="B192" s="254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25">
      <c r="A193" s="150"/>
      <c r="B193" s="254"/>
      <c r="C193" s="259" t="s">
        <v>84</v>
      </c>
      <c r="D193" s="270">
        <v>46418</v>
      </c>
      <c r="E193" s="150"/>
      <c r="F193" s="150"/>
      <c r="G193" s="170"/>
      <c r="H193" s="1"/>
      <c r="I193" s="1"/>
      <c r="J193" s="120"/>
    </row>
    <row r="194" spans="1:10" ht="15" customHeight="1" x14ac:dyDescent="0.25">
      <c r="A194" s="150"/>
      <c r="B194" s="254"/>
      <c r="C194" s="248" t="s">
        <v>85</v>
      </c>
      <c r="D194" s="46">
        <v>15730</v>
      </c>
      <c r="E194" s="150"/>
      <c r="F194" s="150"/>
      <c r="G194" s="170"/>
      <c r="H194" s="1"/>
      <c r="I194" s="1"/>
      <c r="J194" s="120"/>
    </row>
    <row r="195" spans="1:10" ht="18" customHeight="1" x14ac:dyDescent="0.25">
      <c r="A195" s="150"/>
      <c r="B195" s="254"/>
      <c r="C195" s="248" t="s">
        <v>86</v>
      </c>
      <c r="D195" s="46">
        <v>8016</v>
      </c>
      <c r="E195" s="150"/>
      <c r="F195" s="150"/>
      <c r="G195" s="170"/>
      <c r="H195" s="1"/>
      <c r="I195" s="1"/>
      <c r="J195" s="120"/>
    </row>
    <row r="196" spans="1:10" ht="11.25" customHeight="1" x14ac:dyDescent="0.25">
      <c r="A196" s="150"/>
      <c r="B196" s="254"/>
      <c r="C196" s="57" t="s">
        <v>49</v>
      </c>
      <c r="D196" s="35">
        <v>70164</v>
      </c>
      <c r="E196" s="150"/>
      <c r="F196" s="150"/>
      <c r="G196" s="170"/>
      <c r="H196" s="1"/>
      <c r="I196" s="1"/>
      <c r="J196" s="120"/>
    </row>
    <row r="197" spans="1:10" ht="12" customHeight="1" x14ac:dyDescent="0.25">
      <c r="A197" s="1"/>
      <c r="B197" s="254"/>
      <c r="C197" s="101" t="s">
        <v>121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25">
      <c r="A198" s="1"/>
      <c r="B198" s="254"/>
      <c r="C198" s="101" t="s">
        <v>122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25">
      <c r="A199" s="1"/>
      <c r="B199" s="254"/>
      <c r="C199" s="101" t="s">
        <v>125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25">
      <c r="A200" s="1"/>
      <c r="B200" s="241"/>
      <c r="C200" s="267"/>
      <c r="D200" s="159"/>
      <c r="E200" s="159"/>
      <c r="F200" s="267"/>
      <c r="G200" s="267"/>
      <c r="H200" s="267"/>
      <c r="I200" s="233"/>
      <c r="J200" s="245"/>
    </row>
    <row r="201" spans="1:10" ht="23.25" customHeight="1" x14ac:dyDescent="0.25">
      <c r="A201" s="1"/>
      <c r="B201" s="254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25">
      <c r="A202" s="1"/>
      <c r="B202" s="254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25">
      <c r="A203" s="1"/>
      <c r="B203" s="254"/>
      <c r="C203" s="68" t="s">
        <v>16</v>
      </c>
      <c r="D203" s="79" t="s">
        <v>2</v>
      </c>
      <c r="E203" s="68" t="s">
        <v>146</v>
      </c>
      <c r="F203" s="68" t="s">
        <v>147</v>
      </c>
      <c r="G203" s="68" t="s">
        <v>148</v>
      </c>
      <c r="H203" s="68" t="s">
        <v>149</v>
      </c>
      <c r="I203" s="1"/>
      <c r="J203" s="120"/>
    </row>
    <row r="204" spans="1:10" ht="15" customHeight="1" x14ac:dyDescent="0.25">
      <c r="A204" s="1"/>
      <c r="B204" s="254"/>
      <c r="C204" s="90" t="s">
        <v>4</v>
      </c>
      <c r="D204" s="124">
        <v>46282</v>
      </c>
      <c r="E204" s="124">
        <f>160.22743</f>
        <v>160.22743</v>
      </c>
      <c r="F204" s="124">
        <f>39008.36762</f>
        <v>39008.367619999997</v>
      </c>
      <c r="G204" s="124">
        <f>D204-F204</f>
        <v>7273.6323800000027</v>
      </c>
      <c r="H204" s="124">
        <f>39865.83345</f>
        <v>39865.833449999998</v>
      </c>
      <c r="I204" s="248"/>
      <c r="J204" s="120"/>
    </row>
    <row r="205" spans="1:10" ht="15" customHeight="1" x14ac:dyDescent="0.25">
      <c r="A205" s="1"/>
      <c r="B205" s="254"/>
      <c r="C205" s="90" t="s">
        <v>67</v>
      </c>
      <c r="D205" s="124">
        <v>100</v>
      </c>
      <c r="E205" s="124">
        <f>0.119</f>
        <v>0.11899999999999999</v>
      </c>
      <c r="F205" s="124">
        <f>38.77192</f>
        <v>38.771920000000001</v>
      </c>
      <c r="G205" s="124">
        <f>D205-F205</f>
        <v>61.228079999999999</v>
      </c>
      <c r="H205" s="124">
        <f>59.24975</f>
        <v>59.249749999999999</v>
      </c>
      <c r="I205" s="248"/>
      <c r="J205" s="120"/>
    </row>
    <row r="206" spans="1:10" ht="15.75" customHeight="1" x14ac:dyDescent="0.25">
      <c r="A206" s="1"/>
      <c r="B206" s="254"/>
      <c r="C206" s="146" t="s">
        <v>81</v>
      </c>
      <c r="D206" s="168">
        <v>36</v>
      </c>
      <c r="E206" s="139">
        <f>0</f>
        <v>0</v>
      </c>
      <c r="F206" s="139">
        <f>0</f>
        <v>0</v>
      </c>
      <c r="G206" s="139">
        <f>D206-F206</f>
        <v>36</v>
      </c>
      <c r="H206" s="139">
        <f>0</f>
        <v>0</v>
      </c>
      <c r="I206" s="248"/>
      <c r="J206" s="120"/>
    </row>
    <row r="207" spans="1:10" ht="16.5" customHeight="1" x14ac:dyDescent="0.25">
      <c r="A207" s="1"/>
      <c r="B207" s="254"/>
      <c r="C207" s="179" t="s">
        <v>87</v>
      </c>
      <c r="D207" s="190">
        <f>SUM(D204:D206)</f>
        <v>46418</v>
      </c>
      <c r="E207" s="190">
        <f>SUM(E204:E206)</f>
        <v>160.34643</v>
      </c>
      <c r="F207" s="190">
        <f>SUM(F204:F206)</f>
        <v>39047.139539999996</v>
      </c>
      <c r="G207" s="190">
        <f>D207-F207</f>
        <v>7370.8604600000035</v>
      </c>
      <c r="H207" s="190">
        <f>SUM(H204:H206)</f>
        <v>39925.083200000001</v>
      </c>
      <c r="I207" s="248"/>
      <c r="J207" s="120"/>
    </row>
    <row r="208" spans="1:10" ht="17.100000000000001" customHeight="1" x14ac:dyDescent="0.25">
      <c r="A208" s="1"/>
      <c r="B208" s="164"/>
      <c r="C208" s="201" t="s">
        <v>88</v>
      </c>
      <c r="D208" s="107"/>
      <c r="E208" s="107"/>
      <c r="F208" s="210"/>
      <c r="G208" s="210"/>
      <c r="H208" s="210"/>
      <c r="I208" s="210"/>
      <c r="J208" s="216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115</v>
      </c>
      <c r="B242" s="1"/>
      <c r="C242" s="1"/>
      <c r="D242" s="1"/>
      <c r="E242" s="1"/>
      <c r="F242" s="1"/>
      <c r="G242" s="1"/>
      <c r="H242" s="1"/>
      <c r="I242" s="1"/>
      <c r="J242" s="218"/>
    </row>
    <row r="243" spans="1:10" ht="21.75" customHeight="1" x14ac:dyDescent="0.35">
      <c r="A243" s="150"/>
      <c r="B243" s="1"/>
      <c r="C243" s="215" t="s">
        <v>117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35">
      <c r="A244" s="150" t="s">
        <v>115</v>
      </c>
      <c r="B244" s="1"/>
      <c r="C244" s="215"/>
      <c r="D244" s="170"/>
      <c r="E244" s="170"/>
      <c r="F244" s="170"/>
      <c r="G244" s="170"/>
      <c r="H244" s="1"/>
      <c r="I244" s="1"/>
      <c r="J244" s="1"/>
    </row>
    <row r="245" spans="1:10" ht="12" customHeight="1" x14ac:dyDescent="0.25">
      <c r="A245" s="150"/>
      <c r="B245" s="138"/>
      <c r="C245" s="226"/>
      <c r="D245" s="237"/>
      <c r="E245" s="237"/>
      <c r="F245" s="237"/>
      <c r="G245" s="237"/>
      <c r="H245" s="154"/>
      <c r="I245" s="154"/>
      <c r="J245" s="162"/>
    </row>
    <row r="246" spans="1:10" ht="23.25" customHeight="1" x14ac:dyDescent="0.25">
      <c r="A246" s="1"/>
      <c r="B246" s="254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25">
      <c r="A247" s="1"/>
      <c r="B247" s="254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25">
      <c r="A248" s="1"/>
      <c r="B248" s="254"/>
      <c r="C248" s="68" t="s">
        <v>16</v>
      </c>
      <c r="D248" s="79" t="s">
        <v>2</v>
      </c>
      <c r="E248" s="68" t="s">
        <v>146</v>
      </c>
      <c r="F248" s="68" t="s">
        <v>147</v>
      </c>
      <c r="G248" s="68" t="s">
        <v>148</v>
      </c>
      <c r="H248" s="68" t="s">
        <v>149</v>
      </c>
      <c r="I248" s="1"/>
      <c r="J248" s="120"/>
    </row>
    <row r="249" spans="1:10" ht="15" customHeight="1" x14ac:dyDescent="0.25">
      <c r="A249" s="1"/>
      <c r="B249" s="254"/>
      <c r="C249" s="90" t="s">
        <v>123</v>
      </c>
      <c r="D249" s="124">
        <v>3987</v>
      </c>
      <c r="E249" s="75">
        <f>E250+E251</f>
        <v>5.0257100000000001</v>
      </c>
      <c r="F249" s="75">
        <f>F250+F251</f>
        <v>3870.3109600000003</v>
      </c>
      <c r="G249" s="75">
        <f>D249-F249</f>
        <v>116.68903999999975</v>
      </c>
      <c r="H249" s="75">
        <f>H250+H251</f>
        <v>3968.6015100000004</v>
      </c>
      <c r="I249" s="248"/>
      <c r="J249" s="120"/>
    </row>
    <row r="250" spans="1:10" ht="15" customHeight="1" x14ac:dyDescent="0.25">
      <c r="A250" s="1"/>
      <c r="B250" s="254"/>
      <c r="C250" s="177" t="s">
        <v>8</v>
      </c>
      <c r="D250" s="124"/>
      <c r="E250" s="75">
        <f>1.1724</f>
        <v>1.1724000000000001</v>
      </c>
      <c r="F250" s="75">
        <f>3341.68427</f>
        <v>3341.6842700000002</v>
      </c>
      <c r="G250" s="75"/>
      <c r="H250" s="75">
        <f>3440.0781</f>
        <v>3440.0781000000002</v>
      </c>
      <c r="I250" s="248"/>
      <c r="J250" s="120"/>
    </row>
    <row r="251" spans="1:10" ht="15" customHeight="1" x14ac:dyDescent="0.25">
      <c r="A251" s="1"/>
      <c r="B251" s="254"/>
      <c r="C251" s="177" t="s">
        <v>67</v>
      </c>
      <c r="D251" s="124"/>
      <c r="E251" s="124">
        <f>3.85331</f>
        <v>3.85331</v>
      </c>
      <c r="F251" s="124">
        <f>528.62669</f>
        <v>528.62669000000005</v>
      </c>
      <c r="G251" s="168"/>
      <c r="H251" s="124">
        <f>528.52341</f>
        <v>528.52341000000001</v>
      </c>
      <c r="I251" s="248"/>
      <c r="J251" s="120"/>
    </row>
    <row r="252" spans="1:10" ht="15" customHeight="1" x14ac:dyDescent="0.25">
      <c r="A252" s="1"/>
      <c r="B252" s="254"/>
      <c r="C252" s="90" t="s">
        <v>124</v>
      </c>
      <c r="D252" s="124">
        <v>4613</v>
      </c>
      <c r="E252" s="75">
        <f>46.8672</f>
        <v>46.867199999999997</v>
      </c>
      <c r="F252" s="75">
        <f>5119.37054</f>
        <v>5119.3705399999999</v>
      </c>
      <c r="G252" s="75">
        <f>D252-F252</f>
        <v>-506.37053999999989</v>
      </c>
      <c r="H252" s="75">
        <f>4972.13429</f>
        <v>4972.13429</v>
      </c>
      <c r="I252" s="248"/>
      <c r="J252" s="120"/>
    </row>
    <row r="253" spans="1:10" ht="16.5" customHeight="1" x14ac:dyDescent="0.25">
      <c r="A253" s="1"/>
      <c r="B253" s="254"/>
      <c r="C253" s="179" t="s">
        <v>87</v>
      </c>
      <c r="D253" s="190">
        <f>D252+D249</f>
        <v>8600</v>
      </c>
      <c r="E253" s="190">
        <f>SUM(E249,E252)</f>
        <v>51.892910000000001</v>
      </c>
      <c r="F253" s="190">
        <f>SUM(F249,F252)</f>
        <v>8989.6815000000006</v>
      </c>
      <c r="G253" s="190">
        <f>D253-F253</f>
        <v>-389.6815000000006</v>
      </c>
      <c r="H253" s="190">
        <f>SUM(H249,H252)</f>
        <v>8940.7358000000004</v>
      </c>
      <c r="I253" s="248"/>
      <c r="J253" s="120"/>
    </row>
    <row r="254" spans="1:10" ht="17.100000000000001" customHeight="1" x14ac:dyDescent="0.25">
      <c r="A254" s="1"/>
      <c r="B254" s="164"/>
      <c r="C254" s="201"/>
      <c r="D254" s="107"/>
      <c r="E254" s="107"/>
      <c r="F254" s="210"/>
      <c r="G254" s="210"/>
      <c r="H254" s="210"/>
      <c r="I254" s="210"/>
      <c r="J254" s="216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0" hidden="1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7.100000000000001" customHeight="1" x14ac:dyDescent="0.25">
      <c r="A288" s="1" t="s">
        <v>115</v>
      </c>
      <c r="B288" s="1"/>
      <c r="C288" s="1"/>
      <c r="D288" s="1"/>
      <c r="E288" s="1"/>
      <c r="F288" s="1"/>
      <c r="G288" s="1"/>
      <c r="H288" s="1"/>
      <c r="I288" s="1"/>
      <c r="J288" s="218"/>
    </row>
    <row r="289" spans="1:10" ht="21.75" customHeight="1" x14ac:dyDescent="0.35">
      <c r="A289" s="150"/>
      <c r="B289" s="1"/>
      <c r="C289" s="215" t="s">
        <v>118</v>
      </c>
      <c r="D289" s="170"/>
      <c r="E289" s="170"/>
      <c r="F289" s="170"/>
      <c r="G289" s="170"/>
      <c r="H289" s="1"/>
      <c r="I289" s="1"/>
      <c r="J289" s="1"/>
    </row>
    <row r="290" spans="1:10" ht="21.75" customHeight="1" x14ac:dyDescent="0.35">
      <c r="A290" s="150" t="s">
        <v>115</v>
      </c>
      <c r="B290" s="1"/>
      <c r="C290" s="215"/>
      <c r="D290" s="170"/>
      <c r="E290" s="170"/>
      <c r="F290" s="170"/>
      <c r="G290" s="170"/>
      <c r="H290" s="1"/>
      <c r="I290" s="1"/>
      <c r="J290" s="1"/>
    </row>
    <row r="291" spans="1:10" ht="12" customHeight="1" x14ac:dyDescent="0.25">
      <c r="A291" s="150"/>
      <c r="B291" s="138"/>
      <c r="C291" s="226"/>
      <c r="D291" s="237"/>
      <c r="E291" s="237"/>
      <c r="F291" s="237"/>
      <c r="G291" s="237"/>
      <c r="H291" s="154"/>
      <c r="I291" s="154"/>
      <c r="J291" s="162"/>
    </row>
    <row r="292" spans="1:10" ht="23.25" customHeight="1" x14ac:dyDescent="0.25">
      <c r="A292" s="1"/>
      <c r="B292" s="254"/>
      <c r="C292" s="18" t="s">
        <v>15</v>
      </c>
      <c r="D292" s="170"/>
      <c r="E292" s="170"/>
      <c r="F292" s="170"/>
      <c r="G292" s="1"/>
      <c r="H292" s="1"/>
      <c r="I292" s="1"/>
      <c r="J292" s="120"/>
    </row>
    <row r="293" spans="1:10" ht="15" customHeight="1" x14ac:dyDescent="0.25">
      <c r="A293" s="1"/>
      <c r="B293" s="254"/>
      <c r="C293" s="101"/>
      <c r="D293" s="170"/>
      <c r="E293" s="170"/>
      <c r="F293" s="170"/>
      <c r="G293" s="170"/>
      <c r="H293" s="1"/>
      <c r="I293" s="1"/>
      <c r="J293" s="120"/>
    </row>
    <row r="294" spans="1:10" ht="48.75" customHeight="1" x14ac:dyDescent="0.25">
      <c r="A294" s="1"/>
      <c r="B294" s="254"/>
      <c r="C294" s="68" t="s">
        <v>16</v>
      </c>
      <c r="D294" s="79" t="s">
        <v>2</v>
      </c>
      <c r="E294" s="68" t="s">
        <v>146</v>
      </c>
      <c r="F294" s="68" t="s">
        <v>147</v>
      </c>
      <c r="G294" s="68" t="s">
        <v>148</v>
      </c>
      <c r="H294" s="68" t="s">
        <v>149</v>
      </c>
      <c r="I294" s="1"/>
      <c r="J294" s="120"/>
    </row>
    <row r="295" spans="1:10" ht="15" customHeight="1" x14ac:dyDescent="0.25">
      <c r="A295" s="1"/>
      <c r="B295" s="254"/>
      <c r="C295" s="90" t="s">
        <v>123</v>
      </c>
      <c r="D295" s="124">
        <v>5090</v>
      </c>
      <c r="E295" s="75">
        <f>E296+E297</f>
        <v>0.64290000000000003</v>
      </c>
      <c r="F295" s="75">
        <f>F296+F297</f>
        <v>4765.9584000000004</v>
      </c>
      <c r="G295" s="75">
        <f>D295-F295</f>
        <v>324.04159999999956</v>
      </c>
      <c r="H295" s="75">
        <f>H296+H297</f>
        <v>5763.1922400000003</v>
      </c>
      <c r="I295" s="248"/>
      <c r="J295" s="120"/>
    </row>
    <row r="296" spans="1:10" ht="15" customHeight="1" x14ac:dyDescent="0.25">
      <c r="A296" s="1"/>
      <c r="B296" s="254"/>
      <c r="C296" s="177" t="s">
        <v>8</v>
      </c>
      <c r="D296" s="124"/>
      <c r="E296" s="75">
        <f>0.2268</f>
        <v>0.2268</v>
      </c>
      <c r="F296" s="75">
        <f>4310.46061</f>
        <v>4310.4606100000001</v>
      </c>
      <c r="G296" s="75"/>
      <c r="H296" s="75">
        <f>5341.83421</f>
        <v>5341.83421</v>
      </c>
      <c r="I296" s="248"/>
      <c r="J296" s="120"/>
    </row>
    <row r="297" spans="1:10" ht="15" customHeight="1" x14ac:dyDescent="0.25">
      <c r="A297" s="1"/>
      <c r="B297" s="254"/>
      <c r="C297" s="177" t="s">
        <v>67</v>
      </c>
      <c r="D297" s="124"/>
      <c r="E297" s="124">
        <f>0.4161</f>
        <v>0.41610000000000003</v>
      </c>
      <c r="F297" s="124">
        <f>455.49779</f>
        <v>455.49779000000001</v>
      </c>
      <c r="G297" s="168"/>
      <c r="H297" s="124">
        <f>421.35803</f>
        <v>421.35802999999999</v>
      </c>
      <c r="I297" s="248"/>
      <c r="J297" s="120"/>
    </row>
    <row r="298" spans="1:10" ht="15" customHeight="1" x14ac:dyDescent="0.25">
      <c r="A298" s="1"/>
      <c r="B298" s="254"/>
      <c r="C298" s="90" t="s">
        <v>124</v>
      </c>
      <c r="D298" s="124">
        <v>2981</v>
      </c>
      <c r="E298" s="75">
        <f>49.57874</f>
        <v>49.578740000000003</v>
      </c>
      <c r="F298" s="75">
        <f>2475.73939</f>
        <v>2475.7393900000002</v>
      </c>
      <c r="G298" s="75">
        <f>D298-F298</f>
        <v>505.26060999999982</v>
      </c>
      <c r="H298" s="75">
        <f>3104.99617</f>
        <v>3104.9961699999999</v>
      </c>
      <c r="I298" s="248"/>
      <c r="J298" s="120"/>
    </row>
    <row r="299" spans="1:10" ht="16.5" customHeight="1" x14ac:dyDescent="0.25">
      <c r="A299" s="1"/>
      <c r="B299" s="254"/>
      <c r="C299" s="179" t="s">
        <v>87</v>
      </c>
      <c r="D299" s="190">
        <f>D298+D295</f>
        <v>8071</v>
      </c>
      <c r="E299" s="190">
        <f>SUM(E295,E298)</f>
        <v>50.221640000000001</v>
      </c>
      <c r="F299" s="190">
        <f>SUM(F295,F298)</f>
        <v>7241.6977900000002</v>
      </c>
      <c r="G299" s="190">
        <f>D299-F299</f>
        <v>829.30220999999983</v>
      </c>
      <c r="H299" s="190">
        <f>SUM(H295,H298)</f>
        <v>8868.1884100000007</v>
      </c>
      <c r="I299" s="248"/>
      <c r="J299" s="120"/>
    </row>
    <row r="300" spans="1:10" ht="17.100000000000001" customHeight="1" x14ac:dyDescent="0.25">
      <c r="A300" s="1"/>
      <c r="B300" s="164"/>
      <c r="C300" s="201"/>
      <c r="D300" s="107"/>
      <c r="E300" s="107"/>
      <c r="F300" s="210"/>
      <c r="G300" s="210"/>
      <c r="H300" s="210"/>
      <c r="I300" s="210"/>
      <c r="J300" s="216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0" hidden="1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61.5" customHeight="1" x14ac:dyDescent="0.25">
      <c r="A334" s="1" t="s">
        <v>115</v>
      </c>
      <c r="B334" s="1"/>
      <c r="C334" s="1"/>
      <c r="D334" s="1"/>
      <c r="E334" s="1"/>
      <c r="F334" s="1"/>
      <c r="G334" s="1"/>
      <c r="H334" s="1"/>
      <c r="I334" s="1"/>
      <c r="J334" s="218"/>
    </row>
    <row r="335" spans="1:10" ht="30" customHeight="1" x14ac:dyDescent="0.25">
      <c r="A335" s="218"/>
      <c r="B335" s="218"/>
      <c r="C335" s="219" t="s">
        <v>89</v>
      </c>
      <c r="D335" s="218"/>
      <c r="E335" s="218"/>
      <c r="F335" s="218"/>
      <c r="G335" s="218"/>
      <c r="H335" s="218"/>
      <c r="I335" s="218"/>
      <c r="J335" s="224"/>
    </row>
    <row r="336" spans="1:10" ht="30" customHeight="1" x14ac:dyDescent="0.25">
      <c r="A336" s="218" t="s">
        <v>115</v>
      </c>
      <c r="B336" s="218"/>
      <c r="C336" s="219"/>
      <c r="D336" s="218"/>
      <c r="E336" s="218"/>
      <c r="F336" s="218"/>
      <c r="G336" s="218"/>
      <c r="H336" s="218"/>
      <c r="I336" s="218"/>
      <c r="J336" s="224"/>
    </row>
    <row r="337" spans="1:10" ht="14.1" customHeight="1" x14ac:dyDescent="0.25">
      <c r="A337" s="1"/>
      <c r="B337" s="136"/>
      <c r="C337" s="174"/>
      <c r="D337" s="174"/>
      <c r="E337" s="174"/>
      <c r="F337" s="174"/>
      <c r="G337" s="174"/>
      <c r="H337" s="174"/>
      <c r="I337" s="174"/>
      <c r="J337" s="162"/>
    </row>
    <row r="338" spans="1:10" ht="14.1" customHeight="1" x14ac:dyDescent="0.25">
      <c r="A338" s="156"/>
      <c r="B338" s="52"/>
      <c r="C338" s="149" t="s">
        <v>1</v>
      </c>
      <c r="D338" s="185"/>
      <c r="E338" s="150"/>
      <c r="F338" s="150"/>
      <c r="G338" s="156"/>
      <c r="H338" s="156"/>
      <c r="I338" s="156"/>
      <c r="J338" s="120"/>
    </row>
    <row r="339" spans="1:10" ht="14.1" customHeight="1" x14ac:dyDescent="0.25">
      <c r="A339" s="1"/>
      <c r="B339" s="254"/>
      <c r="C339" s="259" t="s">
        <v>84</v>
      </c>
      <c r="D339" s="270">
        <v>3851</v>
      </c>
      <c r="E339" s="150"/>
      <c r="F339" s="225"/>
      <c r="G339" s="1"/>
      <c r="H339" s="1"/>
      <c r="I339" s="1"/>
      <c r="J339" s="120"/>
    </row>
    <row r="340" spans="1:10" ht="14.1" customHeight="1" x14ac:dyDescent="0.25">
      <c r="A340" s="1"/>
      <c r="B340" s="254"/>
      <c r="C340" s="248" t="s">
        <v>90</v>
      </c>
      <c r="D340" s="46">
        <v>11613</v>
      </c>
      <c r="E340" s="150"/>
      <c r="F340" s="225"/>
      <c r="G340" s="1"/>
      <c r="H340" s="1"/>
      <c r="I340" s="1"/>
      <c r="J340" s="120"/>
    </row>
    <row r="341" spans="1:10" ht="14.1" customHeight="1" x14ac:dyDescent="0.25">
      <c r="A341" s="1"/>
      <c r="B341" s="254"/>
      <c r="C341" s="248" t="s">
        <v>91</v>
      </c>
      <c r="D341" s="46">
        <v>9054</v>
      </c>
      <c r="E341" s="150"/>
      <c r="F341" s="225"/>
      <c r="G341" s="1"/>
      <c r="H341" s="1"/>
      <c r="I341" s="1"/>
      <c r="J341" s="120"/>
    </row>
    <row r="342" spans="1:10" ht="13.5" customHeight="1" x14ac:dyDescent="0.25">
      <c r="A342" s="1"/>
      <c r="B342" s="254"/>
      <c r="C342" s="248" t="s">
        <v>126</v>
      </c>
      <c r="D342" s="46">
        <v>382</v>
      </c>
      <c r="E342" s="150"/>
      <c r="F342" s="225"/>
      <c r="G342" s="1"/>
      <c r="H342" s="1"/>
      <c r="I342" s="1"/>
      <c r="J342" s="120"/>
    </row>
    <row r="343" spans="1:10" ht="14.25" customHeight="1" x14ac:dyDescent="0.25">
      <c r="A343" s="1"/>
      <c r="B343" s="254"/>
      <c r="C343" s="57" t="s">
        <v>49</v>
      </c>
      <c r="D343" s="35">
        <f>SUM(D339:D342)</f>
        <v>24900</v>
      </c>
      <c r="E343" s="150"/>
      <c r="F343" s="150"/>
      <c r="G343" s="1"/>
      <c r="H343" s="1"/>
      <c r="I343" s="1"/>
      <c r="J343" s="120"/>
    </row>
    <row r="344" spans="1:10" ht="14.1" customHeight="1" x14ac:dyDescent="0.25">
      <c r="A344" s="1"/>
      <c r="B344" s="254"/>
      <c r="C344" s="228" t="s">
        <v>92</v>
      </c>
      <c r="D344" s="229"/>
      <c r="E344" s="178"/>
      <c r="F344" s="178"/>
      <c r="G344" s="1"/>
      <c r="H344" s="1"/>
      <c r="I344" s="1"/>
      <c r="J344" s="120"/>
    </row>
    <row r="345" spans="1:10" ht="15" customHeight="1" x14ac:dyDescent="0.25">
      <c r="A345" s="1"/>
      <c r="B345" s="254"/>
      <c r="C345" s="101" t="s">
        <v>102</v>
      </c>
      <c r="D345" s="230"/>
      <c r="E345" s="1"/>
      <c r="F345" s="1"/>
      <c r="G345" s="1"/>
      <c r="H345" s="1"/>
      <c r="I345" s="1"/>
      <c r="J345" s="120"/>
    </row>
    <row r="346" spans="1:10" ht="14.25" customHeight="1" x14ac:dyDescent="0.25">
      <c r="A346" s="1"/>
      <c r="B346" s="254"/>
      <c r="C346" s="101"/>
      <c r="D346" s="1"/>
      <c r="E346" s="1"/>
      <c r="F346" s="1"/>
      <c r="G346" s="1"/>
      <c r="H346" s="1"/>
      <c r="I346" s="1"/>
      <c r="J346" s="120"/>
    </row>
    <row r="347" spans="1:10" ht="23.25" customHeight="1" x14ac:dyDescent="0.25">
      <c r="A347" s="1"/>
      <c r="B347" s="231"/>
      <c r="C347" s="234" t="s">
        <v>15</v>
      </c>
      <c r="D347" s="234"/>
      <c r="E347" s="234"/>
      <c r="F347" s="234"/>
      <c r="G347" s="234"/>
      <c r="H347" s="234"/>
      <c r="I347" s="234"/>
      <c r="J347" s="238"/>
    </row>
    <row r="348" spans="1:10" ht="14.1" customHeight="1" x14ac:dyDescent="0.25">
      <c r="A348" s="1"/>
      <c r="B348" s="240"/>
      <c r="C348" s="242"/>
      <c r="D348" s="242"/>
      <c r="E348" s="242"/>
      <c r="F348" s="242"/>
      <c r="G348" s="242"/>
      <c r="H348" s="242"/>
      <c r="I348" s="242"/>
      <c r="J348" s="120"/>
    </row>
    <row r="349" spans="1:10" ht="54" customHeight="1" x14ac:dyDescent="0.25">
      <c r="A349" s="1"/>
      <c r="B349" s="254"/>
      <c r="C349" s="68" t="s">
        <v>16</v>
      </c>
      <c r="D349" s="243" t="s">
        <v>2</v>
      </c>
      <c r="E349" s="68" t="s">
        <v>146</v>
      </c>
      <c r="F349" s="68" t="s">
        <v>147</v>
      </c>
      <c r="G349" s="68" t="s">
        <v>148</v>
      </c>
      <c r="H349" s="68" t="s">
        <v>149</v>
      </c>
      <c r="I349" s="1"/>
      <c r="J349" s="116"/>
    </row>
    <row r="350" spans="1:10" ht="14.1" customHeight="1" x14ac:dyDescent="0.25">
      <c r="A350" s="67"/>
      <c r="B350" s="78"/>
      <c r="C350" s="90" t="s">
        <v>93</v>
      </c>
      <c r="D350" s="124">
        <v>800</v>
      </c>
      <c r="E350" s="124">
        <f>6.02272</f>
        <v>6.0227199999999996</v>
      </c>
      <c r="F350" s="124">
        <f>500.91249</f>
        <v>500.91248999999999</v>
      </c>
      <c r="G350" s="124">
        <f>D350-F350</f>
        <v>299.08751000000001</v>
      </c>
      <c r="H350" s="124">
        <f>479.87256</f>
        <v>479.87256000000002</v>
      </c>
      <c r="I350" s="67"/>
      <c r="J350" s="244"/>
    </row>
    <row r="351" spans="1:10" ht="14.1" customHeight="1" x14ac:dyDescent="0.25">
      <c r="A351" s="1"/>
      <c r="B351" s="254"/>
      <c r="C351" s="90" t="s">
        <v>94</v>
      </c>
      <c r="D351" s="246">
        <v>3041</v>
      </c>
      <c r="E351" s="124">
        <f>2.61774</f>
        <v>2.61774</v>
      </c>
      <c r="F351" s="124">
        <f>2037.67454</f>
        <v>2037.67454</v>
      </c>
      <c r="G351" s="124">
        <f>D351-F351</f>
        <v>1003.32546</v>
      </c>
      <c r="H351" s="124">
        <f>2425.92077</f>
        <v>2425.9207700000002</v>
      </c>
      <c r="I351" s="178"/>
      <c r="J351" s="116"/>
    </row>
    <row r="352" spans="1:10" ht="16.5" customHeight="1" x14ac:dyDescent="0.25">
      <c r="A352" s="67"/>
      <c r="B352" s="78"/>
      <c r="C352" s="146" t="s">
        <v>81</v>
      </c>
      <c r="D352" s="246">
        <v>10</v>
      </c>
      <c r="E352" s="168">
        <f>0</f>
        <v>0</v>
      </c>
      <c r="F352" s="168">
        <f>3.60962</f>
        <v>3.6096200000000001</v>
      </c>
      <c r="G352" s="124">
        <f>D352-F352</f>
        <v>6.3903800000000004</v>
      </c>
      <c r="H352" s="168">
        <f>2.73874</f>
        <v>2.73874</v>
      </c>
      <c r="I352" s="67"/>
      <c r="J352" s="249"/>
    </row>
    <row r="353" spans="1:10" ht="18.75" customHeight="1" x14ac:dyDescent="0.25">
      <c r="A353" s="67"/>
      <c r="B353" s="250"/>
      <c r="C353" s="146" t="s">
        <v>95</v>
      </c>
      <c r="D353" s="222"/>
      <c r="E353" s="168">
        <f>0</f>
        <v>0</v>
      </c>
      <c r="F353" s="168">
        <f>0.091</f>
        <v>9.0999999999999998E-2</v>
      </c>
      <c r="G353" s="124">
        <f>D353-F353</f>
        <v>-9.0999999999999998E-2</v>
      </c>
      <c r="H353" s="168">
        <f>1.7076</f>
        <v>1.7076</v>
      </c>
      <c r="I353" s="284"/>
      <c r="J353" s="120"/>
    </row>
    <row r="354" spans="1:10" ht="14.1" customHeight="1" x14ac:dyDescent="0.25">
      <c r="A354" s="1"/>
      <c r="B354" s="254"/>
      <c r="C354" s="179" t="s">
        <v>87</v>
      </c>
      <c r="D354" s="6">
        <f>D339</f>
        <v>3851</v>
      </c>
      <c r="E354" s="190">
        <f>SUM(E350:E353)</f>
        <v>8.6404599999999991</v>
      </c>
      <c r="F354" s="190">
        <f>SUM(F350:F353)</f>
        <v>2542.2876500000002</v>
      </c>
      <c r="G354" s="190">
        <f>D354-F354</f>
        <v>1308.7123499999998</v>
      </c>
      <c r="H354" s="190">
        <f>H350+H351+H352+H353</f>
        <v>2910.2396700000004</v>
      </c>
      <c r="I354" s="1"/>
      <c r="J354" s="120"/>
    </row>
    <row r="355" spans="1:10" ht="14.1" customHeight="1" x14ac:dyDescent="0.25">
      <c r="A355" s="1"/>
      <c r="B355" s="254"/>
      <c r="C355" s="21"/>
      <c r="D355" s="34"/>
      <c r="E355" s="34"/>
      <c r="F355" s="34"/>
      <c r="G355" s="34"/>
      <c r="H355" s="34"/>
      <c r="I355" s="1"/>
      <c r="J355" s="120"/>
    </row>
    <row r="356" spans="1:10" ht="14.1" customHeight="1" x14ac:dyDescent="0.25">
      <c r="A356" s="1"/>
      <c r="B356" s="164"/>
      <c r="C356" s="107"/>
      <c r="D356" s="107"/>
      <c r="E356" s="107"/>
      <c r="F356" s="107"/>
      <c r="G356" s="106"/>
      <c r="H356" s="107"/>
      <c r="I356" s="107"/>
      <c r="J356" s="118"/>
    </row>
    <row r="357" spans="1:10" ht="14.1" customHeight="1" x14ac:dyDescent="0.25">
      <c r="A357" s="1"/>
      <c r="C357" s="150" t="s">
        <v>115</v>
      </c>
    </row>
    <row r="358" spans="1:10" ht="14.1" customHeight="1" x14ac:dyDescent="0.25">
      <c r="A358" s="1" t="s">
        <v>115</v>
      </c>
    </row>
    <row r="359" spans="1:10" ht="14.1" customHeight="1" x14ac:dyDescent="0.25">
      <c r="A359" s="1" t="s">
        <v>115</v>
      </c>
    </row>
    <row r="360" spans="1:10" ht="14.1" customHeight="1" x14ac:dyDescent="0.25">
      <c r="A360" s="1"/>
      <c r="C360" s="150" t="s">
        <v>115</v>
      </c>
    </row>
    <row r="361" spans="1:10" x14ac:dyDescent="0.25">
      <c r="A361" s="1"/>
      <c r="C361" s="150" t="s">
        <v>115</v>
      </c>
    </row>
    <row r="362" spans="1:10" ht="14.1" customHeight="1" x14ac:dyDescent="0.25">
      <c r="A362" s="1"/>
      <c r="C362" s="150" t="s">
        <v>115</v>
      </c>
    </row>
    <row r="363" spans="1:10" ht="14.1" customHeight="1" x14ac:dyDescent="0.25">
      <c r="A363" s="1"/>
      <c r="C363" s="150" t="s">
        <v>115</v>
      </c>
    </row>
    <row r="364" spans="1:10" ht="30" customHeight="1" x14ac:dyDescent="0.35">
      <c r="A364" s="218"/>
      <c r="B364" s="1"/>
      <c r="C364" s="215" t="s">
        <v>96</v>
      </c>
      <c r="D364" s="156"/>
      <c r="E364" s="1"/>
      <c r="F364" s="1"/>
      <c r="G364" s="1"/>
      <c r="H364" s="1"/>
      <c r="I364" s="1"/>
      <c r="J364" s="1"/>
    </row>
    <row r="365" spans="1:10" ht="17.100000000000001" customHeight="1" x14ac:dyDescent="0.25">
      <c r="B365" s="123"/>
      <c r="C365" s="239"/>
      <c r="D365" s="239"/>
      <c r="E365" s="239"/>
      <c r="F365" s="239"/>
      <c r="G365" s="239"/>
      <c r="H365" s="239"/>
      <c r="I365" s="239"/>
      <c r="J365" s="60"/>
    </row>
    <row r="366" spans="1:10" ht="6" customHeight="1" x14ac:dyDescent="0.25">
      <c r="B366" s="72"/>
      <c r="C366" s="150"/>
      <c r="D366" s="150"/>
      <c r="E366" s="150"/>
      <c r="F366" s="150"/>
      <c r="G366" s="150"/>
      <c r="H366" s="150"/>
      <c r="I366" s="150"/>
      <c r="J366" s="130"/>
    </row>
    <row r="367" spans="1:10" ht="18" customHeight="1" x14ac:dyDescent="0.25">
      <c r="B367" s="72"/>
      <c r="C367" s="149" t="s">
        <v>1</v>
      </c>
      <c r="D367" s="185"/>
      <c r="E367" s="149" t="s">
        <v>97</v>
      </c>
      <c r="F367" s="185"/>
      <c r="G367" s="149" t="s">
        <v>98</v>
      </c>
      <c r="H367" s="185"/>
      <c r="I367" s="150"/>
      <c r="J367" s="130"/>
    </row>
    <row r="368" spans="1:10" ht="14.25" customHeight="1" x14ac:dyDescent="0.25">
      <c r="B368" s="72"/>
      <c r="C368" s="259" t="s">
        <v>84</v>
      </c>
      <c r="D368" s="270">
        <v>35008</v>
      </c>
      <c r="E368" s="252" t="s">
        <v>4</v>
      </c>
      <c r="F368" s="103">
        <v>21508</v>
      </c>
      <c r="G368" s="248" t="s">
        <v>20</v>
      </c>
      <c r="H368" s="46">
        <v>12051</v>
      </c>
      <c r="I368" s="150"/>
      <c r="J368" s="130"/>
    </row>
    <row r="369" spans="1:10" ht="14.25" customHeight="1" x14ac:dyDescent="0.25">
      <c r="B369" s="72"/>
      <c r="C369" s="248" t="s">
        <v>91</v>
      </c>
      <c r="D369" s="46">
        <v>23995</v>
      </c>
      <c r="E369" s="178" t="s">
        <v>94</v>
      </c>
      <c r="F369" s="47">
        <v>8000</v>
      </c>
      <c r="G369" s="248" t="s">
        <v>21</v>
      </c>
      <c r="H369" s="46">
        <v>3136</v>
      </c>
      <c r="I369" s="150"/>
      <c r="J369" s="130"/>
    </row>
    <row r="370" spans="1:10" ht="14.25" customHeight="1" x14ac:dyDescent="0.25">
      <c r="B370" s="72"/>
      <c r="C370" s="248" t="s">
        <v>90</v>
      </c>
      <c r="D370" s="46">
        <v>8105</v>
      </c>
      <c r="E370" s="178" t="s">
        <v>59</v>
      </c>
      <c r="F370" s="47">
        <v>5500</v>
      </c>
      <c r="G370" s="248" t="s">
        <v>99</v>
      </c>
      <c r="H370" s="46">
        <v>4867</v>
      </c>
      <c r="I370" s="150"/>
      <c r="J370" s="130"/>
    </row>
    <row r="371" spans="1:10" ht="14.1" customHeight="1" x14ac:dyDescent="0.25">
      <c r="B371" s="72"/>
      <c r="C371" s="248"/>
      <c r="D371" s="46"/>
      <c r="E371" s="131"/>
      <c r="F371" s="144"/>
      <c r="G371" s="248" t="s">
        <v>100</v>
      </c>
      <c r="H371" s="46">
        <v>1454</v>
      </c>
      <c r="I371" s="150"/>
      <c r="J371" s="130"/>
    </row>
    <row r="372" spans="1:10" ht="14.1" customHeight="1" x14ac:dyDescent="0.25">
      <c r="B372" s="72"/>
      <c r="C372" s="57" t="s">
        <v>49</v>
      </c>
      <c r="D372" s="35">
        <v>66876</v>
      </c>
      <c r="E372" s="173" t="s">
        <v>101</v>
      </c>
      <c r="F372" s="35">
        <f>F368+F369+F370</f>
        <v>35008</v>
      </c>
      <c r="G372" s="57" t="s">
        <v>4</v>
      </c>
      <c r="H372" s="35">
        <f>SUM(H368:H371)</f>
        <v>21508</v>
      </c>
      <c r="I372" s="150"/>
      <c r="J372" s="130"/>
    </row>
    <row r="373" spans="1:10" ht="13.35" customHeight="1" x14ac:dyDescent="0.25">
      <c r="B373" s="72"/>
      <c r="C373" s="211" t="s">
        <v>137</v>
      </c>
      <c r="D373" s="178"/>
      <c r="E373" s="178"/>
      <c r="F373" s="178"/>
      <c r="G373" s="1"/>
      <c r="H373" s="178"/>
      <c r="I373" s="178"/>
      <c r="J373" s="244"/>
    </row>
    <row r="374" spans="1:10" ht="13.35" customHeight="1" x14ac:dyDescent="0.25">
      <c r="B374" s="72"/>
      <c r="C374" s="212" t="s">
        <v>138</v>
      </c>
      <c r="D374" s="1"/>
      <c r="E374" s="1"/>
      <c r="F374" s="1"/>
      <c r="G374" s="1"/>
      <c r="H374" s="1"/>
      <c r="I374" s="1"/>
      <c r="J374" s="120"/>
    </row>
    <row r="375" spans="1:10" ht="9.75" customHeight="1" x14ac:dyDescent="0.25">
      <c r="B375" s="72"/>
      <c r="C375" s="101"/>
      <c r="D375" s="1"/>
      <c r="E375" s="1"/>
      <c r="F375" s="1"/>
      <c r="G375" s="1"/>
      <c r="H375" s="1"/>
      <c r="I375" s="1"/>
      <c r="J375" s="120"/>
    </row>
    <row r="376" spans="1:10" ht="18" customHeight="1" x14ac:dyDescent="0.25">
      <c r="B376" s="72"/>
      <c r="C376" s="150"/>
      <c r="D376" s="150"/>
      <c r="E376" s="150"/>
      <c r="F376" s="150"/>
      <c r="G376" s="150"/>
      <c r="H376" s="150"/>
      <c r="I376" s="150"/>
      <c r="J376" s="130"/>
    </row>
    <row r="377" spans="1:10" ht="29.25" customHeight="1" x14ac:dyDescent="0.25">
      <c r="B377" s="231"/>
      <c r="C377" s="234" t="s">
        <v>15</v>
      </c>
      <c r="D377" s="234"/>
      <c r="E377" s="234"/>
      <c r="F377" s="234"/>
      <c r="G377" s="234"/>
      <c r="H377" s="234"/>
      <c r="I377" s="234"/>
      <c r="J377" s="238"/>
    </row>
    <row r="378" spans="1:10" ht="18.75" customHeight="1" x14ac:dyDescent="0.25">
      <c r="B378" s="198"/>
      <c r="C378" s="224"/>
      <c r="D378" s="224"/>
      <c r="E378" s="224"/>
      <c r="F378" s="224"/>
      <c r="G378" s="224"/>
      <c r="H378" s="224"/>
      <c r="I378" s="224"/>
      <c r="J378" s="13"/>
    </row>
    <row r="379" spans="1:10" ht="64.5" customHeight="1" x14ac:dyDescent="0.25">
      <c r="B379" s="72"/>
      <c r="C379" s="223" t="s">
        <v>16</v>
      </c>
      <c r="D379" s="232" t="s">
        <v>17</v>
      </c>
      <c r="E379" s="68" t="s">
        <v>103</v>
      </c>
      <c r="F379" s="223" t="s">
        <v>146</v>
      </c>
      <c r="G379" s="223" t="s">
        <v>147</v>
      </c>
      <c r="H379" s="223" t="s">
        <v>148</v>
      </c>
      <c r="I379" s="223" t="s">
        <v>149</v>
      </c>
      <c r="J379" s="130"/>
    </row>
    <row r="380" spans="1:10" ht="14.1" customHeight="1" x14ac:dyDescent="0.25">
      <c r="A380" s="218"/>
      <c r="B380" s="72"/>
      <c r="C380" s="247" t="s">
        <v>19</v>
      </c>
      <c r="D380" s="251">
        <f t="shared" ref="D380:I380" si="17">D384+D383+D382+D381</f>
        <v>21508</v>
      </c>
      <c r="E380" s="251">
        <v>22969</v>
      </c>
      <c r="F380" s="253">
        <f t="shared" si="17"/>
        <v>291.7919</v>
      </c>
      <c r="G380" s="253">
        <f t="shared" si="17"/>
        <v>13485.82116</v>
      </c>
      <c r="H380" s="253">
        <f>H384+H383+H382+H381</f>
        <v>9483.1788400000005</v>
      </c>
      <c r="I380" s="253">
        <f t="shared" si="17"/>
        <v>12701.24238</v>
      </c>
      <c r="J380" s="130"/>
    </row>
    <row r="381" spans="1:10" ht="14.1" customHeight="1" x14ac:dyDescent="0.25">
      <c r="A381" s="218"/>
      <c r="B381" s="72"/>
      <c r="C381" s="255" t="s">
        <v>104</v>
      </c>
      <c r="D381" s="256">
        <v>12051</v>
      </c>
      <c r="E381" s="256">
        <v>13190</v>
      </c>
      <c r="F381" s="257">
        <f>0</f>
        <v>0</v>
      </c>
      <c r="G381" s="257">
        <f>7621.95643</f>
        <v>7621.9564300000002</v>
      </c>
      <c r="H381" s="257">
        <f t="shared" ref="H381:H385" si="18">E381-G381</f>
        <v>5568.0435699999998</v>
      </c>
      <c r="I381" s="257">
        <f>7005.24966</f>
        <v>7005.2496600000004</v>
      </c>
      <c r="J381" s="130"/>
    </row>
    <row r="382" spans="1:10" ht="14.1" customHeight="1" x14ac:dyDescent="0.25">
      <c r="A382" s="218"/>
      <c r="B382" s="72"/>
      <c r="C382" s="260" t="s">
        <v>21</v>
      </c>
      <c r="D382" s="256">
        <v>3136</v>
      </c>
      <c r="E382" s="256">
        <v>3433</v>
      </c>
      <c r="F382" s="257">
        <f>228.82601</f>
        <v>228.82601</v>
      </c>
      <c r="G382" s="257">
        <f>1868.18502</f>
        <v>1868.1850199999999</v>
      </c>
      <c r="H382" s="257">
        <f t="shared" si="18"/>
        <v>1564.8149800000001</v>
      </c>
      <c r="I382" s="257">
        <f>1238.34555</f>
        <v>1238.34555</v>
      </c>
      <c r="J382" s="130"/>
    </row>
    <row r="383" spans="1:10" ht="14.1" customHeight="1" x14ac:dyDescent="0.25">
      <c r="A383" s="218"/>
      <c r="B383" s="72"/>
      <c r="C383" s="260" t="s">
        <v>100</v>
      </c>
      <c r="D383" s="256">
        <v>1454</v>
      </c>
      <c r="E383" s="256">
        <v>1483</v>
      </c>
      <c r="F383" s="257">
        <f>12.70889</f>
        <v>12.70889</v>
      </c>
      <c r="G383" s="257">
        <f>1695.34305</f>
        <v>1695.3430499999999</v>
      </c>
      <c r="H383" s="257">
        <f t="shared" si="18"/>
        <v>-212.34304999999995</v>
      </c>
      <c r="I383" s="257">
        <f>1708.36987</f>
        <v>1708.36987</v>
      </c>
      <c r="J383" s="130"/>
    </row>
    <row r="384" spans="1:10" ht="14.1" customHeight="1" x14ac:dyDescent="0.25">
      <c r="A384" s="218"/>
      <c r="B384" s="72"/>
      <c r="C384" s="262" t="s">
        <v>105</v>
      </c>
      <c r="D384" s="263">
        <v>4867</v>
      </c>
      <c r="E384" s="263">
        <v>4863</v>
      </c>
      <c r="F384" s="257">
        <f>50.257</f>
        <v>50.256999999999998</v>
      </c>
      <c r="G384" s="257">
        <f>2300.33666</f>
        <v>2300.3366599999999</v>
      </c>
      <c r="H384" s="257">
        <f t="shared" si="18"/>
        <v>2562.6633400000001</v>
      </c>
      <c r="I384" s="257">
        <f>2749.2773</f>
        <v>2749.2773000000002</v>
      </c>
      <c r="J384" s="130"/>
    </row>
    <row r="385" spans="1:10" ht="14.1" customHeight="1" x14ac:dyDescent="0.25">
      <c r="A385" s="218"/>
      <c r="B385" s="72"/>
      <c r="C385" s="265" t="s">
        <v>59</v>
      </c>
      <c r="D385" s="266">
        <v>5500</v>
      </c>
      <c r="E385" s="266">
        <v>5500</v>
      </c>
      <c r="F385" s="268">
        <f>2.357</f>
        <v>2.3570000000000002</v>
      </c>
      <c r="G385" s="268">
        <f>2147.48978</f>
        <v>2147.4897799999999</v>
      </c>
      <c r="H385" s="268">
        <f t="shared" si="18"/>
        <v>3352.5102200000001</v>
      </c>
      <c r="I385" s="268">
        <f>5108.15528</f>
        <v>5108.1552799999999</v>
      </c>
      <c r="J385" s="130"/>
    </row>
    <row r="386" spans="1:10" ht="14.1" customHeight="1" x14ac:dyDescent="0.25">
      <c r="A386" s="218"/>
      <c r="B386" s="72"/>
      <c r="C386" s="247" t="s">
        <v>22</v>
      </c>
      <c r="D386" s="251">
        <v>8000</v>
      </c>
      <c r="E386" s="251">
        <v>8000</v>
      </c>
      <c r="F386" s="269">
        <f>F388+F387</f>
        <v>19.837060000000001</v>
      </c>
      <c r="G386" s="269">
        <f>G388+G387</f>
        <v>2865.8026799999998</v>
      </c>
      <c r="H386" s="269">
        <f>E386-G386</f>
        <v>5134.1973200000002</v>
      </c>
      <c r="I386" s="269">
        <f>I388+I387</f>
        <v>3550.0405999999998</v>
      </c>
      <c r="J386" s="130"/>
    </row>
    <row r="387" spans="1:10" ht="14.1" customHeight="1" x14ac:dyDescent="0.25">
      <c r="A387" s="218"/>
      <c r="B387" s="72"/>
      <c r="C387" s="260" t="s">
        <v>53</v>
      </c>
      <c r="D387" s="271"/>
      <c r="E387" s="256"/>
      <c r="F387" s="257">
        <f>0</f>
        <v>0</v>
      </c>
      <c r="G387" s="257">
        <f>900.74358</f>
        <v>900.74357999999995</v>
      </c>
      <c r="H387" s="257"/>
      <c r="I387" s="257">
        <f>847.45358</f>
        <v>847.45357999999999</v>
      </c>
      <c r="J387" s="130"/>
    </row>
    <row r="388" spans="1:10" ht="14.1" customHeight="1" x14ac:dyDescent="0.25">
      <c r="A388" s="218"/>
      <c r="B388" s="72"/>
      <c r="C388" s="273" t="s">
        <v>106</v>
      </c>
      <c r="D388" s="274"/>
      <c r="E388" s="277"/>
      <c r="F388" s="278">
        <f>19.83706</f>
        <v>19.837060000000001</v>
      </c>
      <c r="G388" s="278">
        <f>1965.0591</f>
        <v>1965.0590999999999</v>
      </c>
      <c r="H388" s="278"/>
      <c r="I388" s="278">
        <f>2702.58702</f>
        <v>2702.5870199999999</v>
      </c>
      <c r="J388" s="130"/>
    </row>
    <row r="389" spans="1:10" ht="14.1" customHeight="1" x14ac:dyDescent="0.25">
      <c r="A389" s="218"/>
      <c r="B389" s="72"/>
      <c r="C389" s="265" t="s">
        <v>34</v>
      </c>
      <c r="D389" s="266">
        <v>13</v>
      </c>
      <c r="E389" s="266">
        <v>13</v>
      </c>
      <c r="F389" s="268">
        <f>0</f>
        <v>0</v>
      </c>
      <c r="G389" s="268">
        <f>0.1164</f>
        <v>0.1164</v>
      </c>
      <c r="H389" s="268">
        <f>E389-G389</f>
        <v>12.883599999999999</v>
      </c>
      <c r="I389" s="268">
        <f>0.0735</f>
        <v>7.3499999999999996E-2</v>
      </c>
      <c r="J389" s="130"/>
    </row>
    <row r="390" spans="1:10" ht="14.1" customHeight="1" x14ac:dyDescent="0.25">
      <c r="A390" s="218"/>
      <c r="B390" s="72"/>
      <c r="C390" s="279" t="s">
        <v>107</v>
      </c>
      <c r="D390" s="282"/>
      <c r="E390" s="283"/>
      <c r="F390" s="268">
        <f>0.2568</f>
        <v>0.25679999999999997</v>
      </c>
      <c r="G390" s="268">
        <f>103.18891</f>
        <v>103.18891000000001</v>
      </c>
      <c r="H390" s="268">
        <f>E390-G390</f>
        <v>-103.18891000000001</v>
      </c>
      <c r="I390" s="268">
        <f>115.79006</f>
        <v>115.79006</v>
      </c>
      <c r="J390" s="130"/>
    </row>
    <row r="391" spans="1:10" ht="19.5" customHeight="1" x14ac:dyDescent="0.25">
      <c r="A391" s="218"/>
      <c r="B391" s="72"/>
      <c r="C391" s="285" t="s">
        <v>40</v>
      </c>
      <c r="D391" s="286">
        <f>D380+D385+D386+D389+D390</f>
        <v>35021</v>
      </c>
      <c r="E391" s="286">
        <v>36482</v>
      </c>
      <c r="F391" s="287">
        <f t="shared" ref="F391:I391" si="19">F380+F385+F386+F389+F390</f>
        <v>314.24276000000003</v>
      </c>
      <c r="G391" s="287">
        <f t="shared" si="19"/>
        <v>18602.41893</v>
      </c>
      <c r="H391" s="287">
        <f>H380+H385+H386+H389+H390</f>
        <v>17879.58107</v>
      </c>
      <c r="I391" s="287">
        <f t="shared" si="19"/>
        <v>21475.301819999997</v>
      </c>
      <c r="J391" s="130"/>
    </row>
    <row r="392" spans="1:10" ht="14.1" customHeight="1" x14ac:dyDescent="0.25">
      <c r="A392" s="218"/>
      <c r="B392" s="72"/>
      <c r="C392" s="161" t="s">
        <v>108</v>
      </c>
      <c r="D392" s="289"/>
      <c r="E392" s="289"/>
      <c r="F392" s="4"/>
      <c r="G392" s="4"/>
      <c r="H392" s="5"/>
      <c r="I392" s="5"/>
      <c r="J392" s="130"/>
    </row>
    <row r="393" spans="1:10" ht="14.1" customHeight="1" x14ac:dyDescent="0.25">
      <c r="A393" s="218"/>
      <c r="B393" s="72"/>
      <c r="C393" s="101" t="s">
        <v>136</v>
      </c>
      <c r="D393" s="289"/>
      <c r="E393" s="289"/>
      <c r="F393" s="4"/>
      <c r="G393" s="4"/>
      <c r="H393" s="7"/>
      <c r="I393" s="5"/>
      <c r="J393" s="130"/>
    </row>
    <row r="394" spans="1:10" ht="14.1" customHeight="1" x14ac:dyDescent="0.25">
      <c r="A394" s="218"/>
      <c r="B394" s="72"/>
      <c r="C394" s="101" t="s">
        <v>135</v>
      </c>
      <c r="D394" s="289"/>
      <c r="E394" s="289"/>
      <c r="F394" s="4"/>
      <c r="G394" s="4"/>
      <c r="H394" s="5"/>
      <c r="I394" s="7"/>
      <c r="J394" s="130"/>
    </row>
    <row r="395" spans="1:10" ht="15.75" customHeight="1" x14ac:dyDescent="0.25">
      <c r="A395" s="218"/>
      <c r="B395" s="8"/>
      <c r="C395" s="9"/>
      <c r="D395" s="107"/>
      <c r="E395" s="107"/>
      <c r="F395" s="107"/>
      <c r="G395" s="107"/>
      <c r="H395" s="107"/>
      <c r="I395" s="107"/>
      <c r="J395" s="12"/>
    </row>
    <row r="396" spans="1:10" ht="236.25" customHeight="1" x14ac:dyDescent="0.25">
      <c r="A396" s="218"/>
      <c r="B396" s="150" t="s">
        <v>115</v>
      </c>
      <c r="C396" s="14"/>
      <c r="D396" s="1"/>
      <c r="E396" s="1"/>
      <c r="F396" s="1"/>
      <c r="G396" s="1"/>
      <c r="H396" s="1"/>
      <c r="I396" s="1"/>
      <c r="J396" s="150"/>
    </row>
    <row r="397" spans="1:10" ht="18.75" x14ac:dyDescent="0.25">
      <c r="A397" s="218"/>
      <c r="B397" s="150" t="s">
        <v>115</v>
      </c>
      <c r="C397" s="14"/>
      <c r="D397" s="1"/>
      <c r="E397" s="1"/>
      <c r="F397" s="1"/>
      <c r="G397" s="1"/>
      <c r="H397" s="1"/>
      <c r="I397" s="1"/>
      <c r="J397" s="150"/>
    </row>
    <row r="398" spans="1:10" ht="14.1" customHeight="1" x14ac:dyDescent="0.25">
      <c r="A398" s="218"/>
      <c r="C398" s="150" t="s">
        <v>115</v>
      </c>
      <c r="D398" s="156"/>
    </row>
    <row r="399" spans="1:10" ht="14.1" customHeight="1" x14ac:dyDescent="0.25">
      <c r="A399" s="218"/>
      <c r="B399" s="123"/>
      <c r="C399" s="239"/>
      <c r="D399" s="17"/>
      <c r="E399" s="239"/>
      <c r="F399" s="239"/>
      <c r="G399" s="239"/>
      <c r="H399" s="239"/>
      <c r="I399" s="239"/>
      <c r="J399" s="60"/>
    </row>
    <row r="400" spans="1:10" ht="14.1" customHeight="1" x14ac:dyDescent="0.25">
      <c r="A400" s="218"/>
      <c r="B400" s="72"/>
      <c r="C400" s="219" t="s">
        <v>109</v>
      </c>
      <c r="D400" s="156"/>
      <c r="E400" s="150"/>
      <c r="G400" s="150"/>
      <c r="H400" s="150"/>
      <c r="I400" s="150"/>
      <c r="J400" s="130"/>
    </row>
    <row r="401" spans="1:10" ht="14.1" customHeight="1" x14ac:dyDescent="0.25">
      <c r="A401" s="218"/>
      <c r="B401" s="72"/>
      <c r="C401" s="150"/>
      <c r="D401" s="156"/>
      <c r="E401" s="150"/>
      <c r="G401" s="150"/>
      <c r="H401" s="150"/>
      <c r="I401" s="150"/>
      <c r="J401" s="130"/>
    </row>
    <row r="402" spans="1:10" ht="14.1" customHeight="1" x14ac:dyDescent="0.25">
      <c r="A402" s="218"/>
      <c r="B402" s="72"/>
      <c r="C402" s="149" t="s">
        <v>1</v>
      </c>
      <c r="D402" s="185"/>
      <c r="E402" s="150"/>
      <c r="F402" s="150"/>
      <c r="G402" s="150"/>
      <c r="H402" s="150"/>
      <c r="I402" s="150"/>
      <c r="J402" s="130"/>
    </row>
    <row r="403" spans="1:10" ht="14.1" customHeight="1" x14ac:dyDescent="0.25">
      <c r="A403" s="218"/>
      <c r="B403" s="72"/>
      <c r="C403" s="259" t="s">
        <v>6</v>
      </c>
      <c r="D403" s="270">
        <v>2681</v>
      </c>
      <c r="E403" s="150"/>
      <c r="F403" s="150"/>
      <c r="G403" s="150"/>
      <c r="H403" s="150"/>
      <c r="I403" s="150"/>
      <c r="J403" s="130"/>
    </row>
    <row r="404" spans="1:10" ht="14.1" customHeight="1" x14ac:dyDescent="0.25">
      <c r="A404" s="218"/>
      <c r="B404" s="72"/>
      <c r="C404" s="248" t="s">
        <v>91</v>
      </c>
      <c r="D404" s="46">
        <v>1753</v>
      </c>
      <c r="E404" s="150"/>
      <c r="G404" s="150"/>
      <c r="H404" s="150"/>
      <c r="I404" s="150"/>
      <c r="J404" s="130"/>
    </row>
    <row r="405" spans="1:10" ht="14.1" customHeight="1" x14ac:dyDescent="0.25">
      <c r="A405" s="218"/>
      <c r="B405" s="72"/>
      <c r="C405" s="248" t="s">
        <v>74</v>
      </c>
      <c r="D405" s="46">
        <v>123</v>
      </c>
      <c r="E405" s="150"/>
      <c r="F405" s="150"/>
      <c r="G405" s="150"/>
      <c r="H405" s="150"/>
      <c r="I405" s="150"/>
      <c r="J405" s="130"/>
    </row>
    <row r="406" spans="1:10" ht="14.1" customHeight="1" x14ac:dyDescent="0.25">
      <c r="A406" s="218"/>
      <c r="B406" s="72"/>
      <c r="C406" s="57" t="s">
        <v>49</v>
      </c>
      <c r="D406" s="35">
        <v>4557</v>
      </c>
      <c r="E406" s="150"/>
      <c r="F406" s="150"/>
      <c r="G406" s="150"/>
      <c r="H406" s="150"/>
      <c r="I406" s="150"/>
      <c r="J406" s="130"/>
    </row>
    <row r="407" spans="1:10" ht="14.1" customHeight="1" x14ac:dyDescent="0.25">
      <c r="A407" s="218"/>
      <c r="B407" s="72"/>
      <c r="C407" s="301" t="s">
        <v>142</v>
      </c>
      <c r="D407" s="301"/>
      <c r="E407" s="301"/>
      <c r="F407" s="301"/>
      <c r="G407" s="214"/>
      <c r="H407" s="214"/>
      <c r="I407" s="150"/>
      <c r="J407" s="130"/>
    </row>
    <row r="408" spans="1:10" ht="14.1" customHeight="1" x14ac:dyDescent="0.25">
      <c r="A408" s="218"/>
      <c r="B408" s="72"/>
      <c r="C408" s="214"/>
      <c r="D408" s="214"/>
      <c r="E408" s="214"/>
      <c r="F408" s="214"/>
      <c r="G408" s="214"/>
      <c r="H408" s="214"/>
      <c r="I408" s="150"/>
      <c r="J408" s="130"/>
    </row>
    <row r="409" spans="1:10" ht="14.1" customHeight="1" x14ac:dyDescent="0.25">
      <c r="A409" s="218"/>
      <c r="B409" s="72"/>
      <c r="C409" s="150"/>
      <c r="D409" s="156"/>
      <c r="E409" s="150"/>
      <c r="F409" s="150"/>
      <c r="G409" s="150"/>
      <c r="H409" s="150"/>
      <c r="I409" s="150"/>
      <c r="J409" s="130"/>
    </row>
    <row r="410" spans="1:10" ht="14.1" customHeight="1" x14ac:dyDescent="0.25">
      <c r="A410" s="218"/>
      <c r="B410" s="72"/>
      <c r="C410" s="150"/>
      <c r="D410" s="150"/>
      <c r="E410" s="150"/>
      <c r="F410" s="150"/>
      <c r="G410" s="150"/>
      <c r="H410" s="150"/>
      <c r="I410" s="150"/>
      <c r="J410" s="130"/>
    </row>
    <row r="411" spans="1:10" ht="29.25" customHeight="1" x14ac:dyDescent="0.25">
      <c r="A411" s="218"/>
      <c r="B411" s="231"/>
      <c r="C411" s="234" t="s">
        <v>15</v>
      </c>
      <c r="D411" s="234"/>
      <c r="E411" s="234"/>
      <c r="F411" s="234"/>
      <c r="G411" s="234"/>
      <c r="H411" s="234"/>
      <c r="I411" s="234"/>
      <c r="J411" s="238"/>
    </row>
    <row r="412" spans="1:10" ht="78" customHeight="1" x14ac:dyDescent="0.25">
      <c r="A412" s="218"/>
      <c r="B412" s="198"/>
      <c r="C412" s="20" t="s">
        <v>110</v>
      </c>
      <c r="D412" s="22" t="s">
        <v>111</v>
      </c>
      <c r="E412" s="20" t="s">
        <v>146</v>
      </c>
      <c r="F412" s="20" t="s">
        <v>147</v>
      </c>
      <c r="G412" s="25" t="s">
        <v>148</v>
      </c>
      <c r="H412" s="20" t="s">
        <v>149</v>
      </c>
      <c r="I412" s="224"/>
      <c r="J412" s="13"/>
    </row>
    <row r="413" spans="1:10" ht="14.1" customHeight="1" x14ac:dyDescent="0.25">
      <c r="A413" s="218"/>
      <c r="B413" s="72"/>
      <c r="C413" s="265" t="s">
        <v>112</v>
      </c>
      <c r="D413" s="204">
        <v>894</v>
      </c>
      <c r="E413" s="26">
        <f>SUM(E414:E415)</f>
        <v>38.956400000000002</v>
      </c>
      <c r="F413" s="26">
        <f>SUM(F414:F415)</f>
        <v>719.05657999999994</v>
      </c>
      <c r="G413" s="85">
        <f>D413-F413</f>
        <v>174.94342000000006</v>
      </c>
      <c r="H413" s="26">
        <f>SUM(H414:H415)</f>
        <v>697.64848000000006</v>
      </c>
      <c r="I413" s="27"/>
      <c r="J413" s="130"/>
    </row>
    <row r="414" spans="1:10" ht="14.1" customHeight="1" x14ac:dyDescent="0.25">
      <c r="A414" s="218"/>
      <c r="B414" s="72"/>
      <c r="C414" s="29" t="s">
        <v>8</v>
      </c>
      <c r="E414" s="205">
        <f>29.2009</f>
        <v>29.200900000000001</v>
      </c>
      <c r="F414" s="205">
        <f>556.01348</f>
        <v>556.01347999999996</v>
      </c>
      <c r="G414" s="206"/>
      <c r="H414" s="205">
        <f>540.29808</f>
        <v>540.29808000000003</v>
      </c>
      <c r="I414" s="150"/>
      <c r="J414" s="130"/>
    </row>
    <row r="415" spans="1:10" ht="14.1" customHeight="1" x14ac:dyDescent="0.25">
      <c r="A415" s="218"/>
      <c r="B415" s="72"/>
      <c r="C415" s="29" t="s">
        <v>11</v>
      </c>
      <c r="D415" s="207"/>
      <c r="E415" s="208">
        <f>9.7555</f>
        <v>9.7554999999999996</v>
      </c>
      <c r="F415" s="208">
        <f>163.0431</f>
        <v>163.04310000000001</v>
      </c>
      <c r="G415" s="209"/>
      <c r="H415" s="208">
        <f>157.3504</f>
        <v>157.35040000000001</v>
      </c>
      <c r="I415" s="150"/>
      <c r="J415" s="130"/>
    </row>
    <row r="416" spans="1:10" ht="14.1" customHeight="1" x14ac:dyDescent="0.25">
      <c r="A416" s="218"/>
      <c r="B416" s="72"/>
      <c r="C416" s="265" t="s">
        <v>113</v>
      </c>
      <c r="D416" s="10">
        <v>894</v>
      </c>
      <c r="E416" s="26">
        <f>SUM(E417:E418)</f>
        <v>0</v>
      </c>
      <c r="F416" s="26">
        <f>SUM(F417:F418)</f>
        <v>0</v>
      </c>
      <c r="G416" s="85">
        <f>D416-F416</f>
        <v>894</v>
      </c>
      <c r="H416" s="26">
        <f>SUM(H417:H418)</f>
        <v>0</v>
      </c>
      <c r="I416" s="27"/>
      <c r="J416" s="130"/>
    </row>
    <row r="417" spans="1:10" ht="14.1" customHeight="1" x14ac:dyDescent="0.25">
      <c r="A417" s="218"/>
      <c r="B417" s="72"/>
      <c r="C417" s="29" t="s">
        <v>8</v>
      </c>
      <c r="D417" s="42"/>
      <c r="E417" s="30">
        <f>0</f>
        <v>0</v>
      </c>
      <c r="F417" s="30">
        <f>0</f>
        <v>0</v>
      </c>
      <c r="G417" s="97"/>
      <c r="H417" s="30">
        <f>0</f>
        <v>0</v>
      </c>
      <c r="I417" s="150"/>
      <c r="J417" s="130"/>
    </row>
    <row r="418" spans="1:10" ht="14.1" customHeight="1" x14ac:dyDescent="0.25">
      <c r="A418" s="218"/>
      <c r="B418" s="72"/>
      <c r="C418" s="29" t="s">
        <v>11</v>
      </c>
      <c r="D418" s="221"/>
      <c r="E418" s="30">
        <f>0</f>
        <v>0</v>
      </c>
      <c r="F418" s="30">
        <f>0</f>
        <v>0</v>
      </c>
      <c r="G418" s="108"/>
      <c r="H418" s="30">
        <f>0</f>
        <v>0</v>
      </c>
      <c r="I418" s="150"/>
      <c r="J418" s="130"/>
    </row>
    <row r="419" spans="1:10" ht="14.1" customHeight="1" x14ac:dyDescent="0.25">
      <c r="A419" s="218"/>
      <c r="B419" s="72"/>
      <c r="C419" s="265" t="s">
        <v>114</v>
      </c>
      <c r="D419" s="10">
        <v>893</v>
      </c>
      <c r="E419" s="36">
        <f>SUM(E420:E421)</f>
        <v>0</v>
      </c>
      <c r="F419" s="36">
        <f>SUM(F420:F421)</f>
        <v>0</v>
      </c>
      <c r="G419" s="85">
        <f>D419-F419</f>
        <v>893</v>
      </c>
      <c r="H419" s="36">
        <f>SUM(H420:H421)</f>
        <v>0</v>
      </c>
      <c r="I419" s="150"/>
      <c r="J419" s="130"/>
    </row>
    <row r="420" spans="1:10" ht="14.1" customHeight="1" x14ac:dyDescent="0.25">
      <c r="A420" s="218"/>
      <c r="B420" s="72"/>
      <c r="C420" s="29" t="s">
        <v>8</v>
      </c>
      <c r="D420" s="42"/>
      <c r="E420" s="30">
        <f>0</f>
        <v>0</v>
      </c>
      <c r="F420" s="30">
        <f>0</f>
        <v>0</v>
      </c>
      <c r="G420" s="97"/>
      <c r="H420" s="30">
        <f>0</f>
        <v>0</v>
      </c>
      <c r="I420" s="150"/>
      <c r="J420" s="130"/>
    </row>
    <row r="421" spans="1:10" ht="14.1" customHeight="1" x14ac:dyDescent="0.25">
      <c r="A421" s="218"/>
      <c r="B421" s="72"/>
      <c r="C421" s="29" t="s">
        <v>11</v>
      </c>
      <c r="D421" s="221"/>
      <c r="E421" s="30">
        <f>0</f>
        <v>0</v>
      </c>
      <c r="F421" s="30">
        <f>0</f>
        <v>0</v>
      </c>
      <c r="G421" s="108"/>
      <c r="H421" s="30">
        <f>0</f>
        <v>0</v>
      </c>
      <c r="I421" s="150"/>
      <c r="J421" s="130"/>
    </row>
    <row r="422" spans="1:10" ht="14.1" customHeight="1" x14ac:dyDescent="0.25">
      <c r="A422" s="218"/>
      <c r="B422" s="72"/>
      <c r="C422" s="279" t="s">
        <v>95</v>
      </c>
      <c r="D422" s="37"/>
      <c r="E422" s="94">
        <f>0</f>
        <v>0</v>
      </c>
      <c r="F422" s="94">
        <f>0</f>
        <v>0</v>
      </c>
      <c r="G422" s="94">
        <f>D422-F422</f>
        <v>0</v>
      </c>
      <c r="H422" s="94">
        <f>0</f>
        <v>0</v>
      </c>
      <c r="I422" s="150"/>
      <c r="J422" s="130"/>
    </row>
    <row r="423" spans="1:10" ht="14.1" customHeight="1" x14ac:dyDescent="0.25">
      <c r="A423" s="218"/>
      <c r="B423" s="72"/>
      <c r="C423" s="285" t="s">
        <v>87</v>
      </c>
      <c r="D423" s="39">
        <f>D413+D416+D419</f>
        <v>2681</v>
      </c>
      <c r="E423" s="40">
        <f>E413+E416+E419+E422</f>
        <v>38.956400000000002</v>
      </c>
      <c r="F423" s="40">
        <f>F413+F416+F419+F422</f>
        <v>719.05657999999994</v>
      </c>
      <c r="G423" s="41">
        <f>D423-F423</f>
        <v>1961.9434200000001</v>
      </c>
      <c r="H423" s="40">
        <f>H413+H416+H419+H422</f>
        <v>697.64848000000006</v>
      </c>
      <c r="I423" s="27"/>
      <c r="J423" s="130"/>
    </row>
    <row r="424" spans="1:10" ht="42" customHeight="1" x14ac:dyDescent="0.25">
      <c r="A424" s="218"/>
      <c r="B424" s="72"/>
      <c r="C424" s="292" t="s">
        <v>119</v>
      </c>
      <c r="D424" s="292"/>
      <c r="E424" s="292"/>
      <c r="F424" s="292"/>
      <c r="G424" s="292"/>
      <c r="H424" s="292"/>
      <c r="I424" s="292"/>
      <c r="J424" s="293"/>
    </row>
    <row r="425" spans="1:10" ht="14.1" customHeight="1" x14ac:dyDescent="0.25">
      <c r="A425" s="218"/>
      <c r="B425" s="8"/>
      <c r="C425" s="210"/>
      <c r="D425" s="199"/>
      <c r="E425" s="210"/>
      <c r="F425" s="210"/>
      <c r="G425" s="210"/>
      <c r="H425" s="210"/>
      <c r="I425" s="210"/>
      <c r="J425" s="12"/>
    </row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0" hidden="1" customHeight="1" x14ac:dyDescent="0.25"/>
    <row r="65609" ht="0" hidden="1" customHeight="1" x14ac:dyDescent="0.25"/>
    <row r="65610" ht="16.5" customHeight="1" x14ac:dyDescent="0.25"/>
  </sheetData>
  <mergeCells count="14">
    <mergeCell ref="C17:H17"/>
    <mergeCell ref="B2:J2"/>
    <mergeCell ref="B9:J9"/>
    <mergeCell ref="C11:D11"/>
    <mergeCell ref="E11:F11"/>
    <mergeCell ref="G11:H11"/>
    <mergeCell ref="C424:J424"/>
    <mergeCell ref="C52:H52"/>
    <mergeCell ref="D55:D59"/>
    <mergeCell ref="G55:G59"/>
    <mergeCell ref="C81:D81"/>
    <mergeCell ref="E81:F81"/>
    <mergeCell ref="G81:H81"/>
    <mergeCell ref="C407:F407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37&amp;R16.09.2024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2024-09-16T07:14:20Z</dcterms:modified>
</cp:coreProperties>
</file>