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\\fiskeridirektoratet.no\Brukere\ameikl\Downloads\"/>
    </mc:Choice>
  </mc:AlternateContent>
  <xr:revisionPtr revIDLastSave="0" documentId="13_ncr:1_{693D2554-7D40-40AE-8695-0144FDE3B8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ukesstatistikk!$B$1:$J$333</definedName>
    <definedName name="Z_14D440E4_F18A_4F78_9989_38C1B133222D_.wvu.Rows" localSheetId="0" hidden="1">ukesstatistikk!#REF!,ukesstatistikk!#REF!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G97" i="1"/>
  <c r="H97" i="1" s="1"/>
  <c r="G98" i="1"/>
  <c r="H98" i="1" s="1"/>
  <c r="G99" i="1"/>
  <c r="G96" i="1" s="1"/>
  <c r="G95" i="1" s="1"/>
  <c r="G100" i="1"/>
  <c r="D331" i="1"/>
  <c r="H329" i="1"/>
  <c r="F329" i="1"/>
  <c r="E329" i="1"/>
  <c r="H328" i="1"/>
  <c r="H327" i="1" s="1"/>
  <c r="F328" i="1"/>
  <c r="F327" i="1" s="1"/>
  <c r="G327" i="1" s="1"/>
  <c r="E328" i="1"/>
  <c r="E327" i="1" s="1"/>
  <c r="H326" i="1"/>
  <c r="F326" i="1"/>
  <c r="E326" i="1"/>
  <c r="E324" i="1" s="1"/>
  <c r="H325" i="1"/>
  <c r="H324" i="1" s="1"/>
  <c r="F325" i="1"/>
  <c r="E325" i="1"/>
  <c r="F324" i="1"/>
  <c r="G324" i="1" s="1"/>
  <c r="H323" i="1"/>
  <c r="F323" i="1"/>
  <c r="E323" i="1"/>
  <c r="E321" i="1" s="1"/>
  <c r="H322" i="1"/>
  <c r="F322" i="1"/>
  <c r="E322" i="1"/>
  <c r="H321" i="1"/>
  <c r="H331" i="1" s="1"/>
  <c r="F321" i="1"/>
  <c r="G321" i="1" s="1"/>
  <c r="E299" i="1"/>
  <c r="D299" i="1"/>
  <c r="I298" i="1"/>
  <c r="G298" i="1"/>
  <c r="H298" i="1" s="1"/>
  <c r="F298" i="1"/>
  <c r="I297" i="1"/>
  <c r="G297" i="1"/>
  <c r="H297" i="1" s="1"/>
  <c r="F297" i="1"/>
  <c r="I296" i="1"/>
  <c r="G296" i="1"/>
  <c r="F296" i="1"/>
  <c r="F294" i="1" s="1"/>
  <c r="I295" i="1"/>
  <c r="G295" i="1"/>
  <c r="F295" i="1"/>
  <c r="I294" i="1"/>
  <c r="H294" i="1"/>
  <c r="G294" i="1"/>
  <c r="I293" i="1"/>
  <c r="G293" i="1"/>
  <c r="H293" i="1" s="1"/>
  <c r="F293" i="1"/>
  <c r="I292" i="1"/>
  <c r="H292" i="1"/>
  <c r="G292" i="1"/>
  <c r="F292" i="1"/>
  <c r="I291" i="1"/>
  <c r="G291" i="1"/>
  <c r="H291" i="1" s="1"/>
  <c r="H288" i="1" s="1"/>
  <c r="H299" i="1" s="1"/>
  <c r="F291" i="1"/>
  <c r="I290" i="1"/>
  <c r="H290" i="1"/>
  <c r="G290" i="1"/>
  <c r="F290" i="1"/>
  <c r="I289" i="1"/>
  <c r="G289" i="1"/>
  <c r="H289" i="1" s="1"/>
  <c r="F289" i="1"/>
  <c r="I288" i="1"/>
  <c r="I299" i="1" s="1"/>
  <c r="G288" i="1"/>
  <c r="G299" i="1" s="1"/>
  <c r="F288" i="1"/>
  <c r="F299" i="1" s="1"/>
  <c r="E288" i="1"/>
  <c r="D288" i="1"/>
  <c r="H280" i="1"/>
  <c r="F280" i="1"/>
  <c r="D262" i="1"/>
  <c r="H261" i="1"/>
  <c r="F261" i="1"/>
  <c r="E261" i="1"/>
  <c r="H260" i="1"/>
  <c r="G260" i="1"/>
  <c r="F260" i="1"/>
  <c r="E260" i="1"/>
  <c r="H259" i="1"/>
  <c r="F259" i="1"/>
  <c r="G259" i="1" s="1"/>
  <c r="E259" i="1"/>
  <c r="H258" i="1"/>
  <c r="H262" i="1" s="1"/>
  <c r="G258" i="1"/>
  <c r="F258" i="1"/>
  <c r="F262" i="1" s="1"/>
  <c r="G262" i="1" s="1"/>
  <c r="E258" i="1"/>
  <c r="E262" i="1" s="1"/>
  <c r="D251" i="1"/>
  <c r="E207" i="1"/>
  <c r="D207" i="1"/>
  <c r="G206" i="1"/>
  <c r="H205" i="1"/>
  <c r="G205" i="1"/>
  <c r="F205" i="1"/>
  <c r="E205" i="1"/>
  <c r="H204" i="1"/>
  <c r="H207" i="1" s="1"/>
  <c r="G204" i="1"/>
  <c r="F204" i="1"/>
  <c r="F207" i="1" s="1"/>
  <c r="E204" i="1"/>
  <c r="D184" i="1"/>
  <c r="H182" i="1"/>
  <c r="F182" i="1"/>
  <c r="G182" i="1" s="1"/>
  <c r="E182" i="1"/>
  <c r="H181" i="1"/>
  <c r="F181" i="1"/>
  <c r="E181" i="1"/>
  <c r="H180" i="1"/>
  <c r="F180" i="1"/>
  <c r="E180" i="1"/>
  <c r="H179" i="1"/>
  <c r="H178" i="1" s="1"/>
  <c r="F179" i="1"/>
  <c r="F178" i="1" s="1"/>
  <c r="G178" i="1" s="1"/>
  <c r="E179" i="1"/>
  <c r="E178" i="1"/>
  <c r="H177" i="1"/>
  <c r="G177" i="1"/>
  <c r="F177" i="1"/>
  <c r="E177" i="1"/>
  <c r="H176" i="1"/>
  <c r="F176" i="1"/>
  <c r="E176" i="1"/>
  <c r="H175" i="1"/>
  <c r="H184" i="1" s="1"/>
  <c r="F175" i="1"/>
  <c r="G175" i="1" s="1"/>
  <c r="E175" i="1"/>
  <c r="E184" i="1" s="1"/>
  <c r="D150" i="1"/>
  <c r="H147" i="1"/>
  <c r="H146" i="1"/>
  <c r="H145" i="1"/>
  <c r="F145" i="1"/>
  <c r="I144" i="1"/>
  <c r="G144" i="1"/>
  <c r="H144" i="1" s="1"/>
  <c r="F144" i="1"/>
  <c r="I143" i="1"/>
  <c r="G143" i="1"/>
  <c r="H143" i="1" s="1"/>
  <c r="F143" i="1"/>
  <c r="I142" i="1"/>
  <c r="G142" i="1"/>
  <c r="H142" i="1" s="1"/>
  <c r="F142" i="1"/>
  <c r="I141" i="1"/>
  <c r="G141" i="1"/>
  <c r="H141" i="1" s="1"/>
  <c r="F141" i="1"/>
  <c r="I140" i="1"/>
  <c r="I139" i="1" s="1"/>
  <c r="G140" i="1"/>
  <c r="H140" i="1" s="1"/>
  <c r="H139" i="1" s="1"/>
  <c r="F140" i="1"/>
  <c r="F139" i="1" s="1"/>
  <c r="E139" i="1"/>
  <c r="E133" i="1" s="1"/>
  <c r="E150" i="1" s="1"/>
  <c r="I138" i="1"/>
  <c r="H138" i="1"/>
  <c r="F138" i="1"/>
  <c r="I137" i="1"/>
  <c r="H137" i="1"/>
  <c r="F137" i="1"/>
  <c r="I136" i="1"/>
  <c r="H136" i="1"/>
  <c r="F136" i="1"/>
  <c r="I135" i="1"/>
  <c r="H135" i="1"/>
  <c r="H134" i="1" s="1"/>
  <c r="F135" i="1"/>
  <c r="F134" i="1" s="1"/>
  <c r="F133" i="1" s="1"/>
  <c r="I134" i="1"/>
  <c r="G134" i="1"/>
  <c r="E134" i="1"/>
  <c r="I132" i="1"/>
  <c r="H132" i="1"/>
  <c r="F132" i="1"/>
  <c r="H131" i="1"/>
  <c r="I130" i="1"/>
  <c r="I128" i="1" s="1"/>
  <c r="G130" i="1"/>
  <c r="H130" i="1" s="1"/>
  <c r="F130" i="1"/>
  <c r="I129" i="1"/>
  <c r="G129" i="1"/>
  <c r="H129" i="1" s="1"/>
  <c r="H128" i="1" s="1"/>
  <c r="F129" i="1"/>
  <c r="G128" i="1"/>
  <c r="F128" i="1"/>
  <c r="E128" i="1"/>
  <c r="C126" i="1"/>
  <c r="H106" i="1"/>
  <c r="H105" i="1"/>
  <c r="H104" i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H100" i="1"/>
  <c r="F100" i="1"/>
  <c r="I99" i="1"/>
  <c r="F99" i="1"/>
  <c r="I98" i="1"/>
  <c r="F98" i="1"/>
  <c r="I97" i="1"/>
  <c r="I96" i="1" s="1"/>
  <c r="I95" i="1" s="1"/>
  <c r="F97" i="1"/>
  <c r="F96" i="1" s="1"/>
  <c r="F95" i="1" s="1"/>
  <c r="E96" i="1"/>
  <c r="D96" i="1"/>
  <c r="E95" i="1"/>
  <c r="D95" i="1"/>
  <c r="D107" i="1" s="1"/>
  <c r="I94" i="1"/>
  <c r="H94" i="1"/>
  <c r="G94" i="1"/>
  <c r="F94" i="1"/>
  <c r="I93" i="1"/>
  <c r="G93" i="1"/>
  <c r="G92" i="1" s="1"/>
  <c r="F93" i="1"/>
  <c r="F92" i="1" s="1"/>
  <c r="I92" i="1"/>
  <c r="I107" i="1" s="1"/>
  <c r="E92" i="1"/>
  <c r="E107" i="1" s="1"/>
  <c r="C89" i="1"/>
  <c r="H85" i="1"/>
  <c r="F85" i="1"/>
  <c r="D85" i="1"/>
  <c r="G61" i="1"/>
  <c r="G60" i="1"/>
  <c r="H55" i="1"/>
  <c r="F55" i="1"/>
  <c r="G55" i="1" s="1"/>
  <c r="E55" i="1"/>
  <c r="F32" i="1" s="1"/>
  <c r="E44" i="1"/>
  <c r="D44" i="1"/>
  <c r="H43" i="1"/>
  <c r="H42" i="1"/>
  <c r="H41" i="1"/>
  <c r="H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I34" i="1" s="1"/>
  <c r="G36" i="1"/>
  <c r="H36" i="1" s="1"/>
  <c r="F36" i="1"/>
  <c r="F34" i="1" s="1"/>
  <c r="I35" i="1"/>
  <c r="G35" i="1"/>
  <c r="F35" i="1"/>
  <c r="I33" i="1"/>
  <c r="G33" i="1"/>
  <c r="H33" i="1" s="1"/>
  <c r="F33" i="1"/>
  <c r="I32" i="1"/>
  <c r="H32" i="1"/>
  <c r="G32" i="1"/>
  <c r="I31" i="1"/>
  <c r="G31" i="1"/>
  <c r="H31" i="1" s="1"/>
  <c r="F31" i="1"/>
  <c r="I30" i="1"/>
  <c r="H30" i="1"/>
  <c r="G30" i="1"/>
  <c r="F30" i="1"/>
  <c r="I29" i="1"/>
  <c r="G29" i="1"/>
  <c r="F29" i="1"/>
  <c r="I28" i="1"/>
  <c r="G28" i="1"/>
  <c r="H28" i="1" s="1"/>
  <c r="F28" i="1"/>
  <c r="F27" i="1" s="1"/>
  <c r="I25" i="1"/>
  <c r="G25" i="1"/>
  <c r="G23" i="1" s="1"/>
  <c r="F25" i="1"/>
  <c r="I24" i="1"/>
  <c r="I23" i="1" s="1"/>
  <c r="G24" i="1"/>
  <c r="H24" i="1" s="1"/>
  <c r="F24" i="1"/>
  <c r="F23" i="1"/>
  <c r="H16" i="1"/>
  <c r="F16" i="1"/>
  <c r="D16" i="1"/>
  <c r="H99" i="1" l="1"/>
  <c r="H96" i="1" s="1"/>
  <c r="H95" i="1" s="1"/>
  <c r="G107" i="1"/>
  <c r="I27" i="1"/>
  <c r="I26" i="1"/>
  <c r="I44" i="1" s="1"/>
  <c r="F26" i="1"/>
  <c r="F44" i="1"/>
  <c r="G27" i="1"/>
  <c r="G34" i="1"/>
  <c r="G331" i="1"/>
  <c r="H34" i="1"/>
  <c r="G26" i="1"/>
  <c r="G44" i="1" s="1"/>
  <c r="H133" i="1"/>
  <c r="H150" i="1" s="1"/>
  <c r="F107" i="1"/>
  <c r="F150" i="1"/>
  <c r="I133" i="1"/>
  <c r="I150" i="1" s="1"/>
  <c r="G207" i="1"/>
  <c r="E331" i="1"/>
  <c r="H25" i="1"/>
  <c r="H23" i="1" s="1"/>
  <c r="H29" i="1"/>
  <c r="H27" i="1" s="1"/>
  <c r="H35" i="1"/>
  <c r="H93" i="1"/>
  <c r="H92" i="1" s="1"/>
  <c r="G139" i="1"/>
  <c r="G133" i="1" s="1"/>
  <c r="G150" i="1" s="1"/>
  <c r="F184" i="1"/>
  <c r="G184" i="1" s="1"/>
  <c r="F331" i="1"/>
  <c r="H26" i="1" l="1"/>
  <c r="H44" i="1" s="1"/>
  <c r="H107" i="1"/>
</calcChain>
</file>

<file path=xl/sharedStrings.xml><?xml version="1.0" encoding="utf-8"?>
<sst xmlns="http://schemas.openxmlformats.org/spreadsheetml/2006/main" count="330" uniqueCount="148">
  <si>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</si>
  <si>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</si>
  <si>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</si>
  <si>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</si>
  <si>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</si>
  <si>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</si>
  <si>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</si>
  <si>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</si>
  <si>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</si>
  <si>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</si>
  <si>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</si>
  <si>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</si>
  <si>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</si>
  <si>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</si>
  <si>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</si>
  <si>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</si>
  <si>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</si>
  <si>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</si>
  <si>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</si>
  <si>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</si>
  <si>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</si>
  <si>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</si>
  <si>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</si>
  <si>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</si>
  <si>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</si>
  <si>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</si>
  <si>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</si>
  <si>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</si>
  <si>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</si>
  <si>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</si>
  <si>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</si>
  <si>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</si>
  <si>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</si>
  <si>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</si>
  <si>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</si>
  <si>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</si>
  <si>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</si>
  <si>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</si>
  <si>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</si>
  <si>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</si>
  <si>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</si>
  <si>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</si>
  <si>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</si>
  <si>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</si>
  <si>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</si>
  <si>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</si>
  <si>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</si>
  <si>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</si>
  <si>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</si>
  <si>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</si>
  <si>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</si>
  <si>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</si>
  <si>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</si>
  <si>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</si>
  <si>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</si>
  <si>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</si>
  <si>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</si>
  <si>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</si>
  <si>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</si>
  <si>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</si>
  <si>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</si>
  <si>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</si>
  <si>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</si>
  <si>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</si>
  <si>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</si>
  <si>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</si>
  <si>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</si>
  <si>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</si>
  <si>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</si>
  <si>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</si>
  <si>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</si>
  <si>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</si>
  <si>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</si>
  <si>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</si>
  <si>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</si>
  <si>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</si>
  <si>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</si>
  <si>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</si>
  <si>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</si>
  <si>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</si>
  <si>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</si>
  <si>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</si>
  <si>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</si>
  <si>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</si>
  <si>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</si>
  <si>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</si>
  <si>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</si>
  <si>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</si>
  <si>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</si>
  <si>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</si>
  <si>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</si>
  <si>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</si>
  <si>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</si>
  <si>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</si>
  <si>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</si>
  <si>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</si>
  <si>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</si>
  <si>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</si>
  <si>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</si>
  <si>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</si>
  <si>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</si>
  <si>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</si>
  <si>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</si>
  <si>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</si>
  <si>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</si>
  <si>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</si>
  <si>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</si>
  <si>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</si>
  <si>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</si>
  <si>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</si>
  <si>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</si>
  <si>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</si>
  <si>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</si>
  <si>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</si>
  <si>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</si>
  <si>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</si>
  <si>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</si>
  <si>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</si>
  <si>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</si>
  <si>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</si>
  <si>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</si>
  <si>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</si>
  <si>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</si>
  <si>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</si>
  <si>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2023 fastsettes etter oppdatert kvoteråd fra ICES.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</si>
  <si>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</si>
  <si>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</si>
  <si>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</si>
  <si>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</si>
  <si>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</si>
  <si>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</si>
  <si>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</si>
  <si>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</si>
  <si>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</si>
  <si>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</si>
  <si>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</si>
  <si>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</si>
  <si>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t>FANGST AV TORSK, HYSE, SEI, BLÅKVEITE, SNABELUER OG REKER I 2023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</si>
  <si>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8 669 tonn er overført fra ubenyttet tredjelandskvoter fra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</si>
  <si>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</si>
  <si>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FANGST UKE 24</t>
  </si>
  <si>
    <t>FANGST T.O.M UKE 24</t>
  </si>
  <si>
    <t>RESTKVOTER UKE 24</t>
  </si>
  <si>
    <t>FANGST T.O.M UKE 24 2022</t>
  </si>
  <si>
    <r>
      <t xml:space="preserve">3 </t>
    </r>
    <r>
      <rPr>
        <sz val="9"/>
        <color indexed="8"/>
        <rFont val="Calibri"/>
        <family val="2"/>
      </rPr>
      <t>Registrert rekreasjonsfiske utgjør 503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</si>
  <si>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42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</si>
  <si>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292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</si>
  <si>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1 607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</si>
</sst>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5" fillId="0" borderId="0" xfId="0" applyFont="1"/>
    <xf numFmtId="0" fontId="26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18"/>
  <sheetViews>
    <sheetView showGridLines="0" tabSelected="1" showRuler="0" view="pageLayout" zoomScale="85" zoomScaleNormal="85" zoomScaleSheetLayoutView="100" zoomScalePageLayoutView="85" workbookViewId="0"/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7" t="s">
        <v>137</v>
      </c>
      <c r="C2" s="298"/>
      <c r="D2" s="298"/>
      <c r="E2" s="298"/>
      <c r="F2" s="298"/>
      <c r="G2" s="298"/>
      <c r="H2" s="298"/>
      <c r="I2" s="298"/>
      <c r="J2" s="299"/>
    </row>
    <row r="3" spans="1:10" ht="14.85" customHeight="1" x14ac:dyDescent="0.25">
      <c r="A3" s="1"/>
      <c r="B3" s="1"/>
      <c r="C3" s="1" t="s">
        <v>120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120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120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120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120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0"/>
      <c r="C9" s="301"/>
      <c r="D9" s="301"/>
      <c r="E9" s="301"/>
      <c r="F9" s="301"/>
      <c r="G9" s="301"/>
      <c r="H9" s="301"/>
      <c r="I9" s="301"/>
      <c r="J9" s="302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4" t="s">
        <v>1</v>
      </c>
      <c r="D11" s="295"/>
      <c r="E11" s="294" t="s">
        <v>2</v>
      </c>
      <c r="F11" s="295"/>
      <c r="G11" s="294" t="s">
        <v>3</v>
      </c>
      <c r="H11" s="295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4</v>
      </c>
      <c r="F12" s="116">
        <v>79967</v>
      </c>
      <c r="G12" s="117" t="s">
        <v>5</v>
      </c>
      <c r="H12" s="116">
        <v>21768</v>
      </c>
      <c r="I12" s="181"/>
      <c r="J12" s="242"/>
    </row>
    <row r="13" spans="1:10" ht="15.75" customHeight="1" x14ac:dyDescent="0.25">
      <c r="A13" s="1"/>
      <c r="B13" s="252"/>
      <c r="C13" s="117" t="s">
        <v>6</v>
      </c>
      <c r="D13" s="119">
        <v>260782</v>
      </c>
      <c r="E13" s="117" t="s">
        <v>7</v>
      </c>
      <c r="F13" s="119">
        <v>169930</v>
      </c>
      <c r="G13" s="117" t="s">
        <v>8</v>
      </c>
      <c r="H13" s="119">
        <v>121832</v>
      </c>
      <c r="I13" s="181"/>
      <c r="J13" s="242"/>
    </row>
    <row r="14" spans="1:10" ht="14.25" customHeight="1" x14ac:dyDescent="0.2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15290</v>
      </c>
      <c r="I14" s="181"/>
      <c r="J14" s="242"/>
    </row>
    <row r="15" spans="1:10" ht="15.75" customHeight="1" x14ac:dyDescent="0.25">
      <c r="A15" s="1"/>
      <c r="B15" s="252"/>
      <c r="C15" s="117" t="s">
        <v>75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269451</v>
      </c>
      <c r="G16" s="180" t="s">
        <v>7</v>
      </c>
      <c r="H16" s="192">
        <f>SUM(H12:H15)</f>
        <v>169930</v>
      </c>
      <c r="J16" s="242"/>
    </row>
    <row r="17" spans="1:10" ht="15" customHeight="1" x14ac:dyDescent="0.25">
      <c r="A17" s="101"/>
      <c r="B17" s="24"/>
      <c r="C17" s="101" t="s">
        <v>138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140</v>
      </c>
      <c r="G22" s="68" t="s">
        <v>141</v>
      </c>
      <c r="H22" s="68" t="s">
        <v>142</v>
      </c>
      <c r="I22" s="68" t="s">
        <v>143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v>79967</v>
      </c>
      <c r="E23" s="28">
        <v>86827</v>
      </c>
      <c r="F23" s="28">
        <f t="shared" ref="F23:I23" si="0">F25+F24</f>
        <v>433.68</v>
      </c>
      <c r="G23" s="28">
        <f t="shared" si="0"/>
        <v>46900.476859999995</v>
      </c>
      <c r="H23" s="11">
        <f t="shared" si="0"/>
        <v>39926.523140000005</v>
      </c>
      <c r="I23" s="11">
        <f t="shared" si="0"/>
        <v>55458.082730000002</v>
      </c>
      <c r="J23" s="242"/>
    </row>
    <row r="24" spans="1:10" ht="14.1" customHeight="1" x14ac:dyDescent="0.25">
      <c r="A24" s="1"/>
      <c r="B24" s="252"/>
      <c r="C24" s="47" t="s">
        <v>20</v>
      </c>
      <c r="D24" s="48">
        <v>79217</v>
      </c>
      <c r="E24" s="48">
        <v>86045</v>
      </c>
      <c r="F24" s="23">
        <f>433.68</f>
        <v>433.68</v>
      </c>
      <c r="G24" s="23">
        <f>46667.07212</f>
        <v>46667.072119999997</v>
      </c>
      <c r="H24" s="23">
        <f>E24-G24</f>
        <v>39377.927880000003</v>
      </c>
      <c r="I24" s="23">
        <f>55157.87526</f>
        <v>55157.875260000001</v>
      </c>
      <c r="J24" s="242"/>
    </row>
    <row r="25" spans="1:10" ht="14.1" customHeight="1" x14ac:dyDescent="0.25">
      <c r="A25" s="1"/>
      <c r="B25" s="252"/>
      <c r="C25" s="50" t="s">
        <v>21</v>
      </c>
      <c r="D25" s="51">
        <v>750</v>
      </c>
      <c r="E25" s="51">
        <v>782</v>
      </c>
      <c r="F25" s="173">
        <f>0</f>
        <v>0</v>
      </c>
      <c r="G25" s="23">
        <f>233.40474</f>
        <v>233.40474</v>
      </c>
      <c r="H25" s="23">
        <f>E25-G25</f>
        <v>548.59526000000005</v>
      </c>
      <c r="I25" s="23">
        <f>300.20747</f>
        <v>300.20747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v>175233</v>
      </c>
      <c r="E26" s="28">
        <v>197570</v>
      </c>
      <c r="F26" s="28">
        <f t="shared" ref="F26:I26" si="1">F34+F33+F27</f>
        <v>736.52470000000005</v>
      </c>
      <c r="G26" s="11">
        <f t="shared" si="1"/>
        <v>163069.46007</v>
      </c>
      <c r="H26" s="11">
        <f t="shared" si="1"/>
        <v>34500.539929999999</v>
      </c>
      <c r="I26" s="11">
        <f t="shared" si="1"/>
        <v>197789.51366</v>
      </c>
      <c r="J26" s="242"/>
    </row>
    <row r="27" spans="1:10" ht="15" customHeight="1" x14ac:dyDescent="0.25">
      <c r="A27" s="53"/>
      <c r="B27" s="55"/>
      <c r="C27" s="59" t="s">
        <v>23</v>
      </c>
      <c r="D27" s="60">
        <v>136975</v>
      </c>
      <c r="E27" s="60">
        <v>152651</v>
      </c>
      <c r="F27" s="134">
        <f>F28+F29+F30+F31+F32</f>
        <v>375.82938000000001</v>
      </c>
      <c r="G27" s="134">
        <f t="shared" ref="G27:I27" si="2">G28+G29+G30+G31+G32</f>
        <v>129508.52711</v>
      </c>
      <c r="H27" s="134">
        <f t="shared" si="2"/>
        <v>23142.472890000005</v>
      </c>
      <c r="I27" s="134">
        <f t="shared" si="2"/>
        <v>162990.49812999999</v>
      </c>
      <c r="J27" s="242"/>
    </row>
    <row r="28" spans="1:10" ht="14.1" customHeight="1" x14ac:dyDescent="0.25">
      <c r="A28" s="199"/>
      <c r="B28" s="184"/>
      <c r="C28" s="64" t="s">
        <v>24</v>
      </c>
      <c r="D28" s="65">
        <v>32925</v>
      </c>
      <c r="E28" s="65">
        <v>39549</v>
      </c>
      <c r="F28" s="205">
        <f>115.26191</f>
        <v>115.26191</v>
      </c>
      <c r="G28" s="129">
        <f>35796.61775 - F57</f>
        <v>35796.617749999998</v>
      </c>
      <c r="H28" s="129">
        <f t="shared" ref="H28:H40" si="3">E28-G28</f>
        <v>3752.3822500000024</v>
      </c>
      <c r="I28" s="129">
        <f>41856.75766 - H57</f>
        <v>41856.757660000003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36657</v>
      </c>
      <c r="E29" s="65">
        <v>40764</v>
      </c>
      <c r="F29" s="129">
        <f>153.9515</f>
        <v>153.95150000000001</v>
      </c>
      <c r="G29" s="129">
        <f>36664.6371 - F58</f>
        <v>36664.6371</v>
      </c>
      <c r="H29" s="129">
        <f t="shared" si="3"/>
        <v>4099.3629000000001</v>
      </c>
      <c r="I29" s="129">
        <f>44108.36522 - H58</f>
        <v>44108.36522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33272</v>
      </c>
      <c r="E30" s="65">
        <v>37267</v>
      </c>
      <c r="F30" s="129">
        <f>86.92547</f>
        <v>86.925470000000004</v>
      </c>
      <c r="G30" s="129">
        <f>34007.70396 - F59</f>
        <v>34007.703959999999</v>
      </c>
      <c r="H30" s="129">
        <f t="shared" si="3"/>
        <v>3259.2960400000011</v>
      </c>
      <c r="I30" s="129">
        <f>45002.23132 - H59</f>
        <v>45002.231319999999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24281</v>
      </c>
      <c r="E31" s="65">
        <v>25407</v>
      </c>
      <c r="F31" s="129">
        <f>19.6905</f>
        <v>19.6905</v>
      </c>
      <c r="G31" s="129">
        <f>23039.5683 - F60</f>
        <v>23039.568299999999</v>
      </c>
      <c r="H31" s="129">
        <f t="shared" si="3"/>
        <v>2367.431700000001</v>
      </c>
      <c r="I31" s="129">
        <f>32023.14393 - H60</f>
        <v>32023.143929999998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0</v>
      </c>
      <c r="G32" s="129">
        <f>F55</f>
        <v>0</v>
      </c>
      <c r="H32" s="129">
        <f t="shared" si="3"/>
        <v>9664</v>
      </c>
      <c r="I32" s="129">
        <f>H55</f>
        <v>0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21768</v>
      </c>
      <c r="E33" s="60">
        <v>23586</v>
      </c>
      <c r="F33" s="134">
        <f>178.19699</f>
        <v>178.19699</v>
      </c>
      <c r="G33" s="134">
        <f>13879.93071</f>
        <v>13879.930710000001</v>
      </c>
      <c r="H33" s="134">
        <f t="shared" si="3"/>
        <v>9706.0692899999995</v>
      </c>
      <c r="I33" s="134">
        <f>15969.96086</f>
        <v>15969.960859999999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16490</v>
      </c>
      <c r="E34" s="60">
        <v>21333</v>
      </c>
      <c r="F34" s="134">
        <f>F35+F36</f>
        <v>182.49833000000001</v>
      </c>
      <c r="G34" s="134">
        <f>G35+G36</f>
        <v>19681.002250000001</v>
      </c>
      <c r="H34" s="134">
        <f t="shared" si="3"/>
        <v>1651.9977499999986</v>
      </c>
      <c r="I34" s="134">
        <f>I35+I36</f>
        <v>18829.054670000001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15290</v>
      </c>
      <c r="E35" s="65">
        <v>20133</v>
      </c>
      <c r="F35" s="129">
        <f>182.49833</f>
        <v>182.49833000000001</v>
      </c>
      <c r="G35" s="134">
        <f>23668.00225 - F61 - F62</f>
        <v>19681.002250000001</v>
      </c>
      <c r="H35" s="129">
        <f t="shared" si="3"/>
        <v>451.99774999999863</v>
      </c>
      <c r="I35" s="129">
        <f>20290.05467 - H61 - H62</f>
        <v>18829.054670000001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0</v>
      </c>
      <c r="G36" s="73">
        <f>F60</f>
        <v>0</v>
      </c>
      <c r="H36" s="73">
        <f t="shared" si="3"/>
        <v>1200</v>
      </c>
      <c r="I36" s="73">
        <f>H60</f>
        <v>0</v>
      </c>
      <c r="J36" s="67"/>
    </row>
    <row r="37" spans="1:13" ht="15.75" customHeight="1" x14ac:dyDescent="0.25">
      <c r="A37" s="1"/>
      <c r="B37" s="252"/>
      <c r="C37" s="75" t="s">
        <v>33</v>
      </c>
      <c r="D37" s="145">
        <v>3000</v>
      </c>
      <c r="E37" s="145">
        <v>3000</v>
      </c>
      <c r="F37" s="141">
        <f>0</f>
        <v>0</v>
      </c>
      <c r="G37" s="141">
        <f>321.6963</f>
        <v>321.69630000000001</v>
      </c>
      <c r="H37" s="141">
        <f t="shared" si="3"/>
        <v>2678.3036999999999</v>
      </c>
      <c r="I37" s="141">
        <f>333.80295</f>
        <v>333.80295000000001</v>
      </c>
      <c r="J37" s="242"/>
    </row>
    <row r="38" spans="1:13" ht="14.1" customHeight="1" x14ac:dyDescent="0.25">
      <c r="A38" s="1"/>
      <c r="B38" s="252"/>
      <c r="C38" s="75" t="s">
        <v>34</v>
      </c>
      <c r="D38" s="145">
        <v>851</v>
      </c>
      <c r="E38" s="145">
        <v>851</v>
      </c>
      <c r="F38" s="100">
        <f>4.2</f>
        <v>4.2</v>
      </c>
      <c r="G38" s="100">
        <f>486.26274</f>
        <v>486.26274000000001</v>
      </c>
      <c r="H38" s="100">
        <f t="shared" si="3"/>
        <v>364.73725999999999</v>
      </c>
      <c r="I38" s="100">
        <f>448.09141</f>
        <v>448.09141</v>
      </c>
      <c r="J38" s="242"/>
    </row>
    <row r="39" spans="1:13" ht="17.25" customHeight="1" x14ac:dyDescent="0.25">
      <c r="A39" s="1"/>
      <c r="B39" s="252"/>
      <c r="C39" s="75" t="s">
        <v>35</v>
      </c>
      <c r="D39" s="145">
        <v>3000</v>
      </c>
      <c r="E39" s="145">
        <v>3048</v>
      </c>
      <c r="F39" s="100">
        <f>E61</f>
        <v>86</v>
      </c>
      <c r="G39" s="100">
        <f>F61</f>
        <v>3987</v>
      </c>
      <c r="H39" s="100">
        <f t="shared" si="3"/>
        <v>-939</v>
      </c>
      <c r="I39" s="100">
        <f>H61</f>
        <v>1461</v>
      </c>
      <c r="J39" s="242"/>
    </row>
    <row r="40" spans="1:13" ht="17.25" customHeight="1" x14ac:dyDescent="0.25">
      <c r="A40" s="1"/>
      <c r="B40" s="252"/>
      <c r="C40" s="75" t="s">
        <v>36</v>
      </c>
      <c r="D40" s="145">
        <v>7000</v>
      </c>
      <c r="E40" s="145">
        <v>7000</v>
      </c>
      <c r="F40" s="100">
        <f>13.36495</f>
        <v>13.36495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38</v>
      </c>
      <c r="D41" s="145">
        <v>300</v>
      </c>
      <c r="E41" s="145">
        <v>300</v>
      </c>
      <c r="F41" s="100"/>
      <c r="G41" s="100"/>
      <c r="H41" s="100">
        <f>E41-G41</f>
        <v>300</v>
      </c>
      <c r="I41" s="100"/>
      <c r="J41" s="242"/>
    </row>
    <row r="42" spans="1:13" ht="17.25" customHeight="1" x14ac:dyDescent="0.2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41</v>
      </c>
      <c r="D44" s="78">
        <f t="shared" ref="D44:I44" si="4">D23+D26+D37+D38+D39+D40+D41+D42+D43</f>
        <v>269451</v>
      </c>
      <c r="E44" s="78">
        <f t="shared" si="4"/>
        <v>298696</v>
      </c>
      <c r="F44" s="78">
        <f t="shared" si="4"/>
        <v>1273.7726499999999</v>
      </c>
      <c r="G44" s="78">
        <f t="shared" si="4"/>
        <v>221844.45697000003</v>
      </c>
      <c r="H44" s="78">
        <f t="shared" si="4"/>
        <v>76851.543029999972</v>
      </c>
      <c r="I44" s="78">
        <f t="shared" si="4"/>
        <v>262611.42917999998</v>
      </c>
      <c r="J44" s="242"/>
    </row>
    <row r="45" spans="1:13" ht="14.1" customHeight="1" x14ac:dyDescent="0.25">
      <c r="A45" s="101"/>
      <c r="B45" s="24"/>
      <c r="C45" s="80" t="s">
        <v>129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144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128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0" t="s">
        <v>44</v>
      </c>
      <c r="D52" s="290"/>
      <c r="E52" s="290"/>
      <c r="F52" s="290"/>
      <c r="G52" s="290"/>
      <c r="H52" s="290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25">
      <c r="A54" s="101"/>
      <c r="B54" s="24"/>
      <c r="C54" s="88" t="s">
        <v>16</v>
      </c>
      <c r="D54" s="68" t="s">
        <v>45</v>
      </c>
      <c r="E54" s="68" t="s">
        <v>140</v>
      </c>
      <c r="F54" s="68" t="s">
        <v>141</v>
      </c>
      <c r="G54" s="68" t="s">
        <v>142</v>
      </c>
      <c r="H54" s="68" t="s">
        <v>143</v>
      </c>
      <c r="I54" s="256"/>
      <c r="J54" s="242"/>
    </row>
    <row r="55" spans="1:10" ht="14.1" customHeight="1" x14ac:dyDescent="0.25">
      <c r="A55" s="101"/>
      <c r="B55" s="24"/>
      <c r="C55" s="16" t="s">
        <v>46</v>
      </c>
      <c r="D55" s="291">
        <v>9840</v>
      </c>
      <c r="E55" s="11">
        <f>E59+E58+E57+E56</f>
        <v>0</v>
      </c>
      <c r="F55" s="11">
        <f>F59+F58+F57+F56</f>
        <v>0</v>
      </c>
      <c r="G55" s="291">
        <f>D55-F55</f>
        <v>9840</v>
      </c>
      <c r="H55" s="11">
        <f>H59+H58+H57+H56</f>
        <v>0</v>
      </c>
      <c r="I55" s="256"/>
      <c r="J55" s="242"/>
    </row>
    <row r="56" spans="1:10" ht="14.1" customHeight="1" x14ac:dyDescent="0.25">
      <c r="A56" s="101"/>
      <c r="B56" s="24"/>
      <c r="C56" s="64" t="s">
        <v>24</v>
      </c>
      <c r="D56" s="292"/>
      <c r="E56" s="129"/>
      <c r="F56" s="129"/>
      <c r="G56" s="292"/>
      <c r="H56" s="129"/>
      <c r="I56" s="256"/>
      <c r="J56" s="242"/>
    </row>
    <row r="57" spans="1:10" ht="14.1" customHeight="1" x14ac:dyDescent="0.25">
      <c r="A57" s="101"/>
      <c r="B57" s="24"/>
      <c r="C57" s="64" t="s">
        <v>25</v>
      </c>
      <c r="D57" s="292"/>
      <c r="E57" s="129"/>
      <c r="F57" s="129"/>
      <c r="G57" s="292"/>
      <c r="H57" s="129"/>
      <c r="I57" s="256"/>
      <c r="J57" s="242"/>
    </row>
    <row r="58" spans="1:10" ht="14.1" customHeight="1" x14ac:dyDescent="0.25">
      <c r="A58" s="101"/>
      <c r="B58" s="24"/>
      <c r="C58" s="64" t="s">
        <v>26</v>
      </c>
      <c r="D58" s="292"/>
      <c r="E58" s="129"/>
      <c r="F58" s="129"/>
      <c r="G58" s="292"/>
      <c r="H58" s="129"/>
      <c r="I58" s="256"/>
      <c r="J58" s="242"/>
    </row>
    <row r="59" spans="1:10" ht="14.1" customHeight="1" x14ac:dyDescent="0.25">
      <c r="A59" s="101"/>
      <c r="B59" s="24"/>
      <c r="C59" s="89" t="s">
        <v>27</v>
      </c>
      <c r="D59" s="293"/>
      <c r="E59" s="194"/>
      <c r="F59" s="194"/>
      <c r="G59" s="293"/>
      <c r="H59" s="194"/>
      <c r="I59" s="256"/>
      <c r="J59" s="242"/>
    </row>
    <row r="60" spans="1:10" ht="14.1" customHeight="1" x14ac:dyDescent="0.25">
      <c r="A60" s="101"/>
      <c r="B60" s="24"/>
      <c r="C60" s="91" t="s">
        <v>47</v>
      </c>
      <c r="D60" s="97">
        <v>1200</v>
      </c>
      <c r="E60" s="97">
        <v>0</v>
      </c>
      <c r="F60" s="97">
        <v>0</v>
      </c>
      <c r="G60" s="97">
        <f>D60-F60</f>
        <v>1200</v>
      </c>
      <c r="H60" s="97">
        <v>0</v>
      </c>
      <c r="I60" s="256"/>
      <c r="J60" s="242"/>
    </row>
    <row r="61" spans="1:10" ht="14.1" customHeight="1" x14ac:dyDescent="0.25">
      <c r="A61" s="101"/>
      <c r="B61" s="24"/>
      <c r="C61" s="144" t="s">
        <v>48</v>
      </c>
      <c r="D61" s="141">
        <v>3000</v>
      </c>
      <c r="E61" s="141">
        <v>86</v>
      </c>
      <c r="F61" s="141">
        <v>3987</v>
      </c>
      <c r="G61" s="141">
        <f>D61-F61</f>
        <v>-987</v>
      </c>
      <c r="H61" s="141">
        <v>1461</v>
      </c>
      <c r="I61" s="256"/>
      <c r="J61" s="242"/>
    </row>
    <row r="62" spans="1:10" ht="14.1" customHeight="1" x14ac:dyDescent="0.25">
      <c r="A62" s="101"/>
      <c r="B62" s="24"/>
      <c r="C62" s="80" t="s">
        <v>125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120</v>
      </c>
      <c r="C68" s="286"/>
      <c r="D68" s="121"/>
      <c r="E68" s="121"/>
      <c r="F68" s="121"/>
      <c r="G68" s="121"/>
      <c r="H68" s="1"/>
      <c r="I68" s="1"/>
      <c r="J68" s="1"/>
    </row>
    <row r="78" spans="1:10" ht="17.100000000000001" customHeight="1" x14ac:dyDescent="0.2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25">
      <c r="B81" s="54"/>
      <c r="C81" s="294" t="s">
        <v>1</v>
      </c>
      <c r="D81" s="295"/>
      <c r="E81" s="294" t="s">
        <v>2</v>
      </c>
      <c r="F81" s="296"/>
      <c r="G81" s="294" t="s">
        <v>3</v>
      </c>
      <c r="H81" s="295"/>
      <c r="I81" s="181"/>
      <c r="J81" s="242"/>
    </row>
    <row r="82" spans="1:10" ht="15" customHeight="1" x14ac:dyDescent="0.25">
      <c r="B82" s="252"/>
      <c r="C82" s="117" t="s">
        <v>6</v>
      </c>
      <c r="D82" s="119">
        <v>84177</v>
      </c>
      <c r="E82" s="257" t="s">
        <v>4</v>
      </c>
      <c r="F82" s="116">
        <v>32035</v>
      </c>
      <c r="G82" s="193" t="s">
        <v>5</v>
      </c>
      <c r="H82" s="116">
        <v>9408</v>
      </c>
      <c r="I82" s="181"/>
      <c r="J82" s="242"/>
    </row>
    <row r="83" spans="1:10" ht="15" customHeight="1" x14ac:dyDescent="0.25">
      <c r="B83" s="252"/>
      <c r="C83" s="117" t="s">
        <v>9</v>
      </c>
      <c r="D83" s="119">
        <v>75177</v>
      </c>
      <c r="E83" s="246" t="s">
        <v>7</v>
      </c>
      <c r="F83" s="119">
        <v>52267</v>
      </c>
      <c r="G83" s="193" t="s">
        <v>8</v>
      </c>
      <c r="H83" s="119">
        <v>38678</v>
      </c>
      <c r="I83" s="181"/>
      <c r="J83" s="242"/>
    </row>
    <row r="84" spans="1:10" ht="14.1" customHeight="1" x14ac:dyDescent="0.25">
      <c r="B84" s="252"/>
      <c r="C84" s="117" t="s">
        <v>75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4181</v>
      </c>
      <c r="I84" s="181"/>
      <c r="J84" s="242"/>
    </row>
    <row r="85" spans="1:10" ht="12" customHeight="1" x14ac:dyDescent="0.2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86556</v>
      </c>
      <c r="G85" s="180" t="s">
        <v>7</v>
      </c>
      <c r="H85" s="192">
        <f>SUM(H82:H84)</f>
        <v>52267</v>
      </c>
      <c r="I85" s="181"/>
      <c r="J85" s="242"/>
    </row>
    <row r="86" spans="1:10" ht="14.25" customHeight="1" x14ac:dyDescent="0.25">
      <c r="A86" s="1"/>
      <c r="B86" s="252"/>
      <c r="C86" s="101" t="s">
        <v>139</v>
      </c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140</v>
      </c>
      <c r="G91" s="15" t="s">
        <v>141</v>
      </c>
      <c r="H91" s="15" t="s">
        <v>142</v>
      </c>
      <c r="I91" s="15" t="s">
        <v>143</v>
      </c>
      <c r="J91" s="122"/>
    </row>
    <row r="92" spans="1:10" ht="14.1" customHeight="1" x14ac:dyDescent="0.25">
      <c r="A92" s="1"/>
      <c r="B92" s="252"/>
      <c r="C92" s="32" t="s">
        <v>19</v>
      </c>
      <c r="D92" s="28">
        <v>32035</v>
      </c>
      <c r="E92" s="28">
        <f>E93+E94</f>
        <v>34799</v>
      </c>
      <c r="F92" s="11">
        <f t="shared" ref="F92:I92" si="5">F94+F93</f>
        <v>34.299999999999997</v>
      </c>
      <c r="G92" s="11">
        <f t="shared" si="5"/>
        <v>38619.172530000003</v>
      </c>
      <c r="H92" s="11">
        <f t="shared" si="5"/>
        <v>-3820.1725300000026</v>
      </c>
      <c r="I92" s="11">
        <f t="shared" si="5"/>
        <v>34740.274740000001</v>
      </c>
      <c r="J92" s="242"/>
    </row>
    <row r="93" spans="1:10" ht="15" customHeight="1" x14ac:dyDescent="0.25">
      <c r="A93" s="1"/>
      <c r="B93" s="252"/>
      <c r="C93" s="47" t="s">
        <v>20</v>
      </c>
      <c r="D93" s="48">
        <v>31285</v>
      </c>
      <c r="E93" s="48">
        <v>33987</v>
      </c>
      <c r="F93" s="23">
        <f>34.3</f>
        <v>34.299999999999997</v>
      </c>
      <c r="G93" s="23">
        <f>38125.19359</f>
        <v>38125.193590000003</v>
      </c>
      <c r="H93" s="23">
        <f>E93-G93</f>
        <v>-4138.1935900000026</v>
      </c>
      <c r="I93" s="23">
        <f>34090.74607</f>
        <v>34090.746070000001</v>
      </c>
      <c r="J93" s="242"/>
    </row>
    <row r="94" spans="1:10" ht="14.1" customHeight="1" x14ac:dyDescent="0.25">
      <c r="A94" s="1"/>
      <c r="B94" s="252"/>
      <c r="C94" s="66" t="s">
        <v>21</v>
      </c>
      <c r="D94" s="51">
        <v>750</v>
      </c>
      <c r="E94" s="51">
        <v>812</v>
      </c>
      <c r="F94" s="52">
        <f>0</f>
        <v>0</v>
      </c>
      <c r="G94" s="52">
        <f>493.97894</f>
        <v>493.97894000000002</v>
      </c>
      <c r="H94" s="52">
        <f>E94-G94</f>
        <v>318.02105999999998</v>
      </c>
      <c r="I94" s="52">
        <f>649.52867</f>
        <v>649.52867000000003</v>
      </c>
      <c r="J94" s="242"/>
    </row>
    <row r="95" spans="1:10" ht="15.75" customHeight="1" x14ac:dyDescent="0.25">
      <c r="A95" s="1"/>
      <c r="B95" s="54"/>
      <c r="C95" s="16" t="s">
        <v>22</v>
      </c>
      <c r="D95" s="28">
        <f>D96+D101+D102</f>
        <v>53851</v>
      </c>
      <c r="E95" s="28">
        <f t="shared" ref="E95:I95" si="6">E96+E101+E102</f>
        <v>59500</v>
      </c>
      <c r="F95" s="11">
        <f t="shared" si="6"/>
        <v>914.05415999999991</v>
      </c>
      <c r="G95" s="11">
        <f t="shared" si="6"/>
        <v>20292.922159999998</v>
      </c>
      <c r="H95" s="11">
        <f t="shared" si="6"/>
        <v>39207.077840000005</v>
      </c>
      <c r="I95" s="11">
        <f t="shared" si="6"/>
        <v>25206.295579999998</v>
      </c>
      <c r="J95" s="242"/>
    </row>
    <row r="96" spans="1:10" ht="14.1" customHeight="1" x14ac:dyDescent="0.25">
      <c r="A96" s="1"/>
      <c r="B96" s="55"/>
      <c r="C96" s="59" t="s">
        <v>23</v>
      </c>
      <c r="D96" s="60">
        <f>D97+D98+D99+D100</f>
        <v>40262</v>
      </c>
      <c r="E96" s="60">
        <f t="shared" ref="E96:I96" si="7">E97+E98+E99+E100</f>
        <v>44491</v>
      </c>
      <c r="F96" s="134">
        <f t="shared" si="7"/>
        <v>810.79334999999992</v>
      </c>
      <c r="G96" s="134">
        <f t="shared" si="7"/>
        <v>14158.25267</v>
      </c>
      <c r="H96" s="134">
        <f t="shared" si="7"/>
        <v>30332.747330000002</v>
      </c>
      <c r="I96" s="134">
        <f t="shared" si="7"/>
        <v>19603.540969999998</v>
      </c>
      <c r="J96" s="242"/>
    </row>
    <row r="97" spans="1:10" ht="14.1" customHeight="1" x14ac:dyDescent="0.25">
      <c r="A97" s="199"/>
      <c r="B97" s="184"/>
      <c r="C97" s="64" t="s">
        <v>24</v>
      </c>
      <c r="D97" s="65">
        <v>10751</v>
      </c>
      <c r="E97" s="65">
        <v>11883.7</v>
      </c>
      <c r="F97" s="129">
        <f>30.03802</f>
        <v>30.038019999999999</v>
      </c>
      <c r="G97" s="129">
        <f>2295.60918</f>
        <v>2295.6091799999999</v>
      </c>
      <c r="H97" s="129">
        <f t="shared" ref="H97:H104" si="8">E97-G97</f>
        <v>9588.0908200000013</v>
      </c>
      <c r="I97" s="129">
        <f>2432.06914</f>
        <v>2432.0691400000001</v>
      </c>
      <c r="J97" s="242"/>
    </row>
    <row r="98" spans="1:10" ht="14.1" customHeight="1" x14ac:dyDescent="0.25">
      <c r="A98" s="199"/>
      <c r="B98" s="184"/>
      <c r="C98" s="64" t="s">
        <v>52</v>
      </c>
      <c r="D98" s="65">
        <v>11448</v>
      </c>
      <c r="E98" s="65">
        <v>12665.1</v>
      </c>
      <c r="F98" s="129">
        <f>310.70387</f>
        <v>310.70386999999999</v>
      </c>
      <c r="G98" s="129">
        <f>4560.57506</f>
        <v>4560.5750600000001</v>
      </c>
      <c r="H98" s="129">
        <f t="shared" si="8"/>
        <v>8104.5249400000002</v>
      </c>
      <c r="I98" s="129">
        <f>6562.61845</f>
        <v>6562.6184499999999</v>
      </c>
      <c r="J98" s="242"/>
    </row>
    <row r="99" spans="1:10" ht="14.1" customHeight="1" x14ac:dyDescent="0.25">
      <c r="A99" s="199"/>
      <c r="B99" s="184"/>
      <c r="C99" s="64" t="s">
        <v>53</v>
      </c>
      <c r="D99" s="65">
        <v>10830</v>
      </c>
      <c r="E99" s="65">
        <v>11965.6</v>
      </c>
      <c r="F99" s="129">
        <f>291.37926</f>
        <v>291.37925999999999</v>
      </c>
      <c r="G99" s="129">
        <f>3847.27186</f>
        <v>3847.2718599999998</v>
      </c>
      <c r="H99" s="129">
        <f t="shared" si="8"/>
        <v>8118.3281400000005</v>
      </c>
      <c r="I99" s="129">
        <f>5634.63416</f>
        <v>5634.6341599999996</v>
      </c>
      <c r="J99" s="242"/>
    </row>
    <row r="100" spans="1:10" ht="14.1" customHeight="1" x14ac:dyDescent="0.25">
      <c r="A100" s="199"/>
      <c r="B100" s="184"/>
      <c r="C100" s="64" t="s">
        <v>27</v>
      </c>
      <c r="D100" s="65">
        <v>7233</v>
      </c>
      <c r="E100" s="65">
        <v>7976.6</v>
      </c>
      <c r="F100" s="129">
        <f>178.6722</f>
        <v>178.6722</v>
      </c>
      <c r="G100" s="129">
        <f>3454.79657</f>
        <v>3454.79657</v>
      </c>
      <c r="H100" s="129">
        <f t="shared" si="8"/>
        <v>4521.8034299999999</v>
      </c>
      <c r="I100" s="129">
        <f>4974.21922</f>
        <v>4974.21922</v>
      </c>
      <c r="J100" s="242"/>
    </row>
    <row r="101" spans="1:10" ht="14.1" customHeight="1" x14ac:dyDescent="0.25">
      <c r="A101" s="199"/>
      <c r="B101" s="184"/>
      <c r="C101" s="59" t="s">
        <v>54</v>
      </c>
      <c r="D101" s="60">
        <v>9408</v>
      </c>
      <c r="E101" s="60">
        <v>10391</v>
      </c>
      <c r="F101" s="134">
        <f>88.49234</f>
        <v>88.492339999999999</v>
      </c>
      <c r="G101" s="134">
        <f>4993.15439</f>
        <v>4993.1543899999997</v>
      </c>
      <c r="H101" s="134">
        <f t="shared" si="8"/>
        <v>5397.8456100000003</v>
      </c>
      <c r="I101" s="134">
        <f>4657.69254</f>
        <v>4657.69254</v>
      </c>
      <c r="J101" s="242"/>
    </row>
    <row r="102" spans="1:10" ht="15.75" customHeight="1" x14ac:dyDescent="0.25">
      <c r="A102" s="1"/>
      <c r="B102" s="55"/>
      <c r="C102" s="38" t="s">
        <v>11</v>
      </c>
      <c r="D102" s="63">
        <v>4181</v>
      </c>
      <c r="E102" s="63">
        <v>4618</v>
      </c>
      <c r="F102" s="77">
        <f>14.76847</f>
        <v>14.768470000000001</v>
      </c>
      <c r="G102" s="77">
        <f>1141.5151</f>
        <v>1141.5151000000001</v>
      </c>
      <c r="H102" s="77">
        <f t="shared" si="8"/>
        <v>3476.4848999999999</v>
      </c>
      <c r="I102" s="77">
        <f>945.06207</f>
        <v>945.06206999999995</v>
      </c>
      <c r="J102" s="242"/>
    </row>
    <row r="103" spans="1:10" ht="15.75" customHeight="1" x14ac:dyDescent="0.25">
      <c r="A103" s="1"/>
      <c r="B103" s="55"/>
      <c r="C103" s="75" t="s">
        <v>34</v>
      </c>
      <c r="D103" s="92">
        <v>320</v>
      </c>
      <c r="E103" s="92">
        <v>320</v>
      </c>
      <c r="F103" s="100">
        <f>0</f>
        <v>0</v>
      </c>
      <c r="G103" s="100">
        <f>11.24867</f>
        <v>11.248670000000001</v>
      </c>
      <c r="H103" s="100">
        <f t="shared" si="8"/>
        <v>308.75133</v>
      </c>
      <c r="I103" s="100">
        <f>21.99483</f>
        <v>21.99483</v>
      </c>
      <c r="J103" s="242"/>
    </row>
    <row r="104" spans="1:10" ht="18" customHeight="1" x14ac:dyDescent="0.25">
      <c r="A104" s="1"/>
      <c r="B104" s="252"/>
      <c r="C104" s="75" t="s">
        <v>55</v>
      </c>
      <c r="D104" s="145">
        <v>300</v>
      </c>
      <c r="E104" s="145">
        <v>300</v>
      </c>
      <c r="F104" s="141">
        <f>0.58683</f>
        <v>0.58682999999999996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38</v>
      </c>
      <c r="D105" s="145">
        <v>50</v>
      </c>
      <c r="E105" s="145">
        <v>50</v>
      </c>
      <c r="F105" s="141"/>
      <c r="G105" s="141"/>
      <c r="H105" s="141">
        <f>E105-G105</f>
        <v>50</v>
      </c>
      <c r="I105" s="141"/>
      <c r="J105" s="242"/>
    </row>
    <row r="106" spans="1:10" ht="18" customHeight="1" x14ac:dyDescent="0.2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41</v>
      </c>
      <c r="D107" s="78">
        <f>D92+D95+D103+D104+D105+D106</f>
        <v>86556</v>
      </c>
      <c r="E107" s="78">
        <f t="shared" ref="E107:I107" si="9">E92+E95+E103+E104+E105+E106</f>
        <v>94969</v>
      </c>
      <c r="F107" s="78">
        <f t="shared" si="9"/>
        <v>948.94098999999983</v>
      </c>
      <c r="G107" s="78">
        <f t="shared" si="9"/>
        <v>59232.111159999986</v>
      </c>
      <c r="H107" s="78">
        <f t="shared" si="9"/>
        <v>35736.888840000014</v>
      </c>
      <c r="I107" s="78">
        <f t="shared" si="9"/>
        <v>60312.299930000001</v>
      </c>
      <c r="J107" s="242"/>
    </row>
    <row r="108" spans="1:10" ht="13.5" customHeight="1" x14ac:dyDescent="0.25">
      <c r="A108" s="1"/>
      <c r="B108" s="252"/>
      <c r="C108" s="80" t="s">
        <v>127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145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126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57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25">
      <c r="A113" s="1"/>
      <c r="B113" s="101"/>
      <c r="C113" s="1" t="s">
        <v>120</v>
      </c>
      <c r="D113" s="226"/>
      <c r="E113" s="226"/>
      <c r="F113" s="226"/>
      <c r="G113" s="226"/>
      <c r="H113" s="226"/>
      <c r="I113" s="101"/>
      <c r="J113" s="101" t="s">
        <v>120</v>
      </c>
    </row>
    <row r="114" spans="1:10" ht="14.25" customHeight="1" x14ac:dyDescent="0.25">
      <c r="A114" s="1"/>
      <c r="B114" s="101"/>
      <c r="C114" s="101" t="s">
        <v>120</v>
      </c>
      <c r="D114" s="101" t="s">
        <v>120</v>
      </c>
      <c r="E114" s="101"/>
      <c r="F114" s="101"/>
      <c r="G114" s="101"/>
      <c r="H114" s="101"/>
      <c r="I114" s="101"/>
      <c r="J114" s="101" t="s">
        <v>120</v>
      </c>
    </row>
    <row r="115" spans="1:10" ht="17.100000000000001" customHeight="1" x14ac:dyDescent="0.25">
      <c r="A115" s="216"/>
      <c r="B115" s="216"/>
      <c r="C115" s="217" t="s">
        <v>58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6</v>
      </c>
      <c r="D119" s="119">
        <v>212544</v>
      </c>
      <c r="E119" s="102" t="s">
        <v>4</v>
      </c>
      <c r="F119" s="116">
        <v>77128</v>
      </c>
      <c r="G119" s="117" t="s">
        <v>5</v>
      </c>
      <c r="H119" s="116">
        <v>8713</v>
      </c>
      <c r="I119" s="181"/>
      <c r="J119" s="242"/>
    </row>
    <row r="120" spans="1:10" ht="14.1" customHeight="1" x14ac:dyDescent="0.25">
      <c r="A120" s="1"/>
      <c r="B120" s="252"/>
      <c r="C120" s="117" t="s">
        <v>9</v>
      </c>
      <c r="D120" s="119">
        <v>12100</v>
      </c>
      <c r="E120" s="117" t="s">
        <v>7</v>
      </c>
      <c r="F120" s="119">
        <v>79212</v>
      </c>
      <c r="G120" s="117" t="s">
        <v>8</v>
      </c>
      <c r="H120" s="119">
        <v>59409</v>
      </c>
      <c r="I120" s="181"/>
      <c r="J120" s="242"/>
    </row>
    <row r="121" spans="1:10" ht="14.1" customHeight="1" x14ac:dyDescent="0.25">
      <c r="A121" s="1"/>
      <c r="B121" s="252"/>
      <c r="C121" s="246" t="s">
        <v>59</v>
      </c>
      <c r="D121" s="119">
        <v>2150</v>
      </c>
      <c r="E121" s="117" t="s">
        <v>60</v>
      </c>
      <c r="F121" s="119">
        <v>52113</v>
      </c>
      <c r="G121" s="117" t="s">
        <v>11</v>
      </c>
      <c r="H121" s="119">
        <v>11090</v>
      </c>
      <c r="I121" s="181"/>
      <c r="J121" s="242"/>
    </row>
    <row r="122" spans="1:10" ht="14.1" customHeight="1" x14ac:dyDescent="0.25">
      <c r="A122" s="1"/>
      <c r="B122" s="155"/>
      <c r="C122" s="167"/>
      <c r="D122" s="193"/>
      <c r="E122" s="193" t="s">
        <v>61</v>
      </c>
      <c r="F122" s="119">
        <v>4091</v>
      </c>
      <c r="G122" s="117"/>
      <c r="H122" s="167"/>
      <c r="I122" s="181"/>
      <c r="J122" s="242"/>
    </row>
    <row r="123" spans="1:10" ht="12" customHeight="1" x14ac:dyDescent="0.2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212544</v>
      </c>
      <c r="G123" s="180" t="s">
        <v>7</v>
      </c>
      <c r="H123" s="35">
        <v>79212</v>
      </c>
      <c r="I123" s="181"/>
      <c r="J123" s="242"/>
    </row>
    <row r="124" spans="1:10" ht="12" customHeight="1" x14ac:dyDescent="0.25">
      <c r="A124" s="101"/>
      <c r="B124" s="24"/>
      <c r="C124" s="101" t="s">
        <v>130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16</v>
      </c>
      <c r="D127" s="15" t="s">
        <v>17</v>
      </c>
      <c r="E127" s="15" t="s">
        <v>62</v>
      </c>
      <c r="F127" s="15" t="s">
        <v>140</v>
      </c>
      <c r="G127" s="15" t="s">
        <v>141</v>
      </c>
      <c r="H127" s="15" t="s">
        <v>142</v>
      </c>
      <c r="I127" s="15" t="s">
        <v>143</v>
      </c>
      <c r="J127" s="278"/>
    </row>
    <row r="128" spans="1:10" ht="14.1" customHeight="1" x14ac:dyDescent="0.25">
      <c r="A128" s="1"/>
      <c r="B128" s="252"/>
      <c r="C128" s="16" t="s">
        <v>63</v>
      </c>
      <c r="D128" s="28">
        <v>77128</v>
      </c>
      <c r="E128" s="28">
        <f t="shared" ref="E128:I128" si="10">E129+E130+E131</f>
        <v>70541</v>
      </c>
      <c r="F128" s="11">
        <f t="shared" si="10"/>
        <v>567.96659999999997</v>
      </c>
      <c r="G128" s="11">
        <f t="shared" si="10"/>
        <v>37104.772720000001</v>
      </c>
      <c r="H128" s="11">
        <f t="shared" si="10"/>
        <v>33436.227279999999</v>
      </c>
      <c r="I128" s="11">
        <f t="shared" si="10"/>
        <v>36157.210910000002</v>
      </c>
      <c r="J128" s="242"/>
    </row>
    <row r="129" spans="1:10" ht="14.1" customHeight="1" x14ac:dyDescent="0.25">
      <c r="A129" s="1"/>
      <c r="B129" s="252"/>
      <c r="C129" s="47" t="s">
        <v>20</v>
      </c>
      <c r="D129" s="48">
        <v>61702</v>
      </c>
      <c r="E129" s="48">
        <v>56092</v>
      </c>
      <c r="F129" s="23">
        <f>567.9666</f>
        <v>567.96659999999997</v>
      </c>
      <c r="G129" s="23">
        <f>32555.16914</f>
        <v>32555.169140000002</v>
      </c>
      <c r="H129" s="23">
        <f>E129-G129</f>
        <v>23536.830859999998</v>
      </c>
      <c r="I129" s="23">
        <f>30419.10525</f>
        <v>30419.105250000001</v>
      </c>
      <c r="J129" s="242"/>
    </row>
    <row r="130" spans="1:10" ht="15" customHeight="1" x14ac:dyDescent="0.25">
      <c r="A130" s="1"/>
      <c r="B130" s="252"/>
      <c r="C130" s="47" t="s">
        <v>21</v>
      </c>
      <c r="D130" s="48">
        <v>14926</v>
      </c>
      <c r="E130" s="48">
        <v>13949</v>
      </c>
      <c r="F130" s="23">
        <f>0</f>
        <v>0</v>
      </c>
      <c r="G130" s="23">
        <f>4549.60358</f>
        <v>4549.60358</v>
      </c>
      <c r="H130" s="23">
        <f>E130-G130</f>
        <v>9399.3964200000009</v>
      </c>
      <c r="I130" s="23">
        <f>5738.10566</f>
        <v>5738.1056600000002</v>
      </c>
      <c r="J130" s="242"/>
    </row>
    <row r="131" spans="1:10" ht="13.5" customHeight="1" x14ac:dyDescent="0.25">
      <c r="A131" s="1"/>
      <c r="B131" s="252"/>
      <c r="C131" s="50" t="s">
        <v>64</v>
      </c>
      <c r="D131" s="33">
        <v>500</v>
      </c>
      <c r="E131" s="33">
        <v>500</v>
      </c>
      <c r="F131" s="58"/>
      <c r="G131" s="58"/>
      <c r="H131" s="58">
        <f>E131-G131</f>
        <v>500</v>
      </c>
      <c r="I131" s="58"/>
      <c r="J131" s="242"/>
    </row>
    <row r="132" spans="1:10" ht="14.25" customHeight="1" x14ac:dyDescent="0.25">
      <c r="A132" s="70"/>
      <c r="B132" s="81"/>
      <c r="C132" s="91" t="s">
        <v>65</v>
      </c>
      <c r="D132" s="93">
        <v>52113</v>
      </c>
      <c r="E132" s="93">
        <v>49172</v>
      </c>
      <c r="F132" s="97">
        <f>3350.1867</f>
        <v>3350.1867000000002</v>
      </c>
      <c r="G132" s="97">
        <f>16944.99679+1607.343775</f>
        <v>18552.340565000002</v>
      </c>
      <c r="H132" s="97">
        <f>E132-G132</f>
        <v>30619.659434999998</v>
      </c>
      <c r="I132" s="97">
        <f>19153.55704</f>
        <v>19153.55704</v>
      </c>
      <c r="J132" s="118"/>
    </row>
    <row r="133" spans="1:10" ht="15.75" customHeight="1" x14ac:dyDescent="0.25">
      <c r="A133" s="1"/>
      <c r="B133" s="252"/>
      <c r="C133" s="144" t="s">
        <v>22</v>
      </c>
      <c r="D133" s="145">
        <v>80721</v>
      </c>
      <c r="E133" s="145">
        <f>E134+E139+E142</f>
        <v>80940</v>
      </c>
      <c r="F133" s="96">
        <f>F134+F139+F142</f>
        <v>510.47478000000001</v>
      </c>
      <c r="G133" s="96">
        <f t="shared" ref="G133" si="11">G134+G139+G142</f>
        <v>44826.657925</v>
      </c>
      <c r="H133" s="96">
        <f>H134+H139+H142</f>
        <v>36113.342075</v>
      </c>
      <c r="I133" s="96">
        <f>I134+I139+I142</f>
        <v>42667.852739999995</v>
      </c>
      <c r="J133" s="122"/>
    </row>
    <row r="134" spans="1:10" ht="14.1" customHeight="1" x14ac:dyDescent="0.25">
      <c r="A134" s="1"/>
      <c r="B134" s="54"/>
      <c r="C134" s="123" t="s">
        <v>66</v>
      </c>
      <c r="D134" s="125">
        <v>60918</v>
      </c>
      <c r="E134" s="125">
        <f>E135+E136+E137+E138</f>
        <v>59504</v>
      </c>
      <c r="F134" s="127">
        <f>F135+F136+F137+F138</f>
        <v>338.73725999999999</v>
      </c>
      <c r="G134" s="127">
        <f>G135+G136+G138+G137</f>
        <v>34908.691664999998</v>
      </c>
      <c r="H134" s="127">
        <f>H135+H136+H137+H138</f>
        <v>24595.308334999998</v>
      </c>
      <c r="I134" s="127">
        <f>I135+I136+I137+I138</f>
        <v>33419.527040000001</v>
      </c>
      <c r="J134" s="278"/>
    </row>
    <row r="135" spans="1:10" ht="14.1" customHeight="1" x14ac:dyDescent="0.25">
      <c r="A135" s="199"/>
      <c r="B135" s="128"/>
      <c r="C135" s="64" t="s">
        <v>24</v>
      </c>
      <c r="D135" s="65">
        <v>16169</v>
      </c>
      <c r="E135" s="65">
        <v>17504</v>
      </c>
      <c r="F135" s="129">
        <f>70.82447</f>
        <v>70.824470000000005</v>
      </c>
      <c r="G135" s="129">
        <v>5805.8624</v>
      </c>
      <c r="H135" s="129">
        <f>E135-G135</f>
        <v>11698.1376</v>
      </c>
      <c r="I135" s="129">
        <f>4855.69235</f>
        <v>4855.6923500000003</v>
      </c>
      <c r="J135" s="130"/>
    </row>
    <row r="136" spans="1:10" ht="14.1" customHeight="1" x14ac:dyDescent="0.25">
      <c r="A136" s="199"/>
      <c r="B136" s="184"/>
      <c r="C136" s="64" t="s">
        <v>52</v>
      </c>
      <c r="D136" s="65">
        <v>16559</v>
      </c>
      <c r="E136" s="65">
        <v>15084</v>
      </c>
      <c r="F136" s="129">
        <f>23.88869</f>
        <v>23.88869</v>
      </c>
      <c r="G136" s="129">
        <v>10087.64321</v>
      </c>
      <c r="H136" s="129">
        <f>E136-G136</f>
        <v>4996.3567899999998</v>
      </c>
      <c r="I136" s="129">
        <f>8084.13753</f>
        <v>8084.13753</v>
      </c>
      <c r="J136" s="131"/>
    </row>
    <row r="137" spans="1:10" ht="14.1" customHeight="1" x14ac:dyDescent="0.25">
      <c r="A137" s="199"/>
      <c r="B137" s="184"/>
      <c r="C137" s="64" t="s">
        <v>53</v>
      </c>
      <c r="D137" s="65">
        <v>15131</v>
      </c>
      <c r="E137" s="65">
        <v>15023</v>
      </c>
      <c r="F137" s="129">
        <f>239.2578</f>
        <v>239.2578</v>
      </c>
      <c r="G137" s="129">
        <v>9709.4508100000003</v>
      </c>
      <c r="H137" s="129">
        <f>E137-G137</f>
        <v>5313.5491899999997</v>
      </c>
      <c r="I137" s="129">
        <f>10343.88609</f>
        <v>10343.88609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13057</v>
      </c>
      <c r="E138" s="65">
        <v>11893</v>
      </c>
      <c r="F138" s="129">
        <f>4.7663</f>
        <v>4.7663000000000002</v>
      </c>
      <c r="G138" s="129">
        <v>9305.7352449999998</v>
      </c>
      <c r="H138" s="129">
        <f>E138-G138</f>
        <v>2587.2647550000002</v>
      </c>
      <c r="I138" s="129">
        <f>10135.81107</f>
        <v>10135.81107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8713</v>
      </c>
      <c r="E139" s="60">
        <f>E141+E140</f>
        <v>9432</v>
      </c>
      <c r="F139" s="134">
        <f>SUM(F140:F141)</f>
        <v>14.0329</v>
      </c>
      <c r="G139" s="134">
        <f>SUM(G140:G141)</f>
        <v>6362.0937899999999</v>
      </c>
      <c r="H139" s="134">
        <f>H140+H141</f>
        <v>3069.9062100000001</v>
      </c>
      <c r="I139" s="134">
        <f>SUM(I140:I141)</f>
        <v>5860.0231599999997</v>
      </c>
      <c r="J139" s="136"/>
    </row>
    <row r="140" spans="1:10" ht="14.1" customHeight="1" x14ac:dyDescent="0.25">
      <c r="A140" s="1"/>
      <c r="B140" s="252"/>
      <c r="C140" s="64" t="s">
        <v>67</v>
      </c>
      <c r="D140" s="65">
        <v>8213</v>
      </c>
      <c r="E140" s="65">
        <v>8932</v>
      </c>
      <c r="F140" s="129">
        <f>13.5289</f>
        <v>13.5289</v>
      </c>
      <c r="G140" s="129">
        <f>6231.02921</f>
        <v>6231.0292099999997</v>
      </c>
      <c r="H140" s="129">
        <f t="shared" ref="H140:H147" si="12">E140-G140</f>
        <v>2700.9707900000003</v>
      </c>
      <c r="I140" s="129">
        <f>5743.74152</f>
        <v>5743.7415199999996</v>
      </c>
      <c r="J140" s="122"/>
    </row>
    <row r="141" spans="1:10" ht="15" customHeight="1" x14ac:dyDescent="0.25">
      <c r="A141" s="1"/>
      <c r="B141" s="55"/>
      <c r="C141" s="64" t="s">
        <v>68</v>
      </c>
      <c r="D141" s="65">
        <v>500</v>
      </c>
      <c r="E141" s="65">
        <v>500</v>
      </c>
      <c r="F141" s="129">
        <f>0.504</f>
        <v>0.504</v>
      </c>
      <c r="G141" s="129">
        <f>131.06458</f>
        <v>131.06458000000001</v>
      </c>
      <c r="H141" s="129">
        <f t="shared" si="12"/>
        <v>368.93542000000002</v>
      </c>
      <c r="I141" s="129">
        <f>116.28164</f>
        <v>116.28164</v>
      </c>
      <c r="J141" s="137"/>
    </row>
    <row r="142" spans="1:10" ht="15.75" customHeight="1" x14ac:dyDescent="0.25">
      <c r="A142" s="1"/>
      <c r="B142" s="252"/>
      <c r="C142" s="38" t="s">
        <v>11</v>
      </c>
      <c r="D142" s="63">
        <v>11090</v>
      </c>
      <c r="E142" s="63">
        <v>12004</v>
      </c>
      <c r="F142" s="77">
        <f>157.70462</f>
        <v>157.70462000000001</v>
      </c>
      <c r="G142" s="77">
        <f>3555.87247</f>
        <v>3555.8724699999998</v>
      </c>
      <c r="H142" s="77">
        <f t="shared" si="12"/>
        <v>8448.1275299999998</v>
      </c>
      <c r="I142" s="77">
        <f>3388.30254</f>
        <v>3388.3025400000001</v>
      </c>
      <c r="J142" s="122"/>
    </row>
    <row r="143" spans="1:10" ht="15.75" customHeight="1" x14ac:dyDescent="0.25">
      <c r="A143" s="1"/>
      <c r="B143" s="252"/>
      <c r="C143" s="144" t="s">
        <v>34</v>
      </c>
      <c r="D143" s="145">
        <v>137</v>
      </c>
      <c r="E143" s="145">
        <v>137</v>
      </c>
      <c r="F143" s="141">
        <f>0</f>
        <v>0</v>
      </c>
      <c r="G143" s="141">
        <f>30.361</f>
        <v>30.361000000000001</v>
      </c>
      <c r="H143" s="141">
        <f t="shared" si="12"/>
        <v>106.639</v>
      </c>
      <c r="I143" s="141">
        <f>21.55052</f>
        <v>21.550519999999999</v>
      </c>
      <c r="J143" s="122"/>
    </row>
    <row r="144" spans="1:10" ht="15.75" customHeight="1" x14ac:dyDescent="0.25">
      <c r="A144" s="1"/>
      <c r="B144" s="252"/>
      <c r="C144" s="142" t="s">
        <v>69</v>
      </c>
      <c r="D144" s="92">
        <v>250</v>
      </c>
      <c r="E144" s="92">
        <v>250</v>
      </c>
      <c r="F144" s="100">
        <f>0</f>
        <v>0</v>
      </c>
      <c r="G144" s="100">
        <f>262.581</f>
        <v>262.58100000000002</v>
      </c>
      <c r="H144" s="100">
        <f t="shared" si="12"/>
        <v>-12.581000000000017</v>
      </c>
      <c r="I144" s="100">
        <f>225.678</f>
        <v>225.678</v>
      </c>
      <c r="J144" s="122"/>
    </row>
    <row r="145" spans="1:10" ht="18" customHeight="1" x14ac:dyDescent="0.25">
      <c r="A145" s="1"/>
      <c r="B145" s="252"/>
      <c r="C145" s="142" t="s">
        <v>70</v>
      </c>
      <c r="D145" s="145">
        <v>2000</v>
      </c>
      <c r="E145" s="145">
        <v>2000</v>
      </c>
      <c r="F145" s="141">
        <f>19.47438</f>
        <v>19.47438</v>
      </c>
      <c r="G145" s="141">
        <v>2000</v>
      </c>
      <c r="H145" s="141">
        <f t="shared" si="12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2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71</v>
      </c>
      <c r="D147" s="145">
        <v>195</v>
      </c>
      <c r="E147" s="145">
        <v>195</v>
      </c>
      <c r="F147" s="141"/>
      <c r="G147" s="141"/>
      <c r="H147" s="141">
        <f t="shared" si="12"/>
        <v>195</v>
      </c>
      <c r="I147" s="141"/>
      <c r="J147" s="122"/>
    </row>
    <row r="148" spans="1:10" ht="15" customHeight="1" x14ac:dyDescent="0.25">
      <c r="A148" s="1"/>
      <c r="B148" s="252"/>
      <c r="C148" s="144" t="s">
        <v>40</v>
      </c>
      <c r="D148" s="148"/>
      <c r="E148" s="145"/>
      <c r="F148" s="141"/>
      <c r="G148" s="141"/>
      <c r="H148" s="141"/>
      <c r="I148" s="141"/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3">D128+D132+D133+D143+D144+D145+D146+D147+D148</f>
        <v>212544</v>
      </c>
      <c r="E150" s="78">
        <f t="shared" si="13"/>
        <v>203235</v>
      </c>
      <c r="F150" s="78">
        <f>F128+F132+F133+F143+F144+F145+F146+F147+F148</f>
        <v>4448.1024600000001</v>
      </c>
      <c r="G150" s="78">
        <f>G128+G132+G133+G143+G144+G145+G146+G147+G148</f>
        <v>102776.71321000002</v>
      </c>
      <c r="H150" s="78">
        <f>H128+H132+H133+H143+H144+H145+H146+H147+H148</f>
        <v>100458.28678999998</v>
      </c>
      <c r="I150" s="78">
        <f>I128+I132+I133+I143+I144+I145+I146+I147+I148</f>
        <v>100225.84921</v>
      </c>
      <c r="J150" s="162"/>
    </row>
    <row r="151" spans="1:10" ht="14.25" customHeight="1" x14ac:dyDescent="0.25">
      <c r="A151" s="159"/>
      <c r="B151" s="54"/>
      <c r="C151" s="163" t="s">
        <v>72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131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147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146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73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132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120</v>
      </c>
      <c r="B162" s="2"/>
      <c r="C162" s="217" t="s">
        <v>74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120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" customHeight="1" x14ac:dyDescent="0.25">
      <c r="A165" s="1" t="s">
        <v>120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75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140</v>
      </c>
      <c r="F174" s="15" t="s">
        <v>141</v>
      </c>
      <c r="G174" s="56" t="s">
        <v>142</v>
      </c>
      <c r="H174" s="15" t="s">
        <v>143</v>
      </c>
      <c r="I174" s="159"/>
      <c r="J174" s="278"/>
    </row>
    <row r="175" spans="1:10" ht="14.1" customHeight="1" x14ac:dyDescent="0.25">
      <c r="A175" s="1"/>
      <c r="B175" s="252"/>
      <c r="C175" s="143" t="s">
        <v>76</v>
      </c>
      <c r="D175" s="96">
        <v>4988</v>
      </c>
      <c r="E175" s="274">
        <f>31.20661</f>
        <v>31.206610000000001</v>
      </c>
      <c r="F175" s="274">
        <f>922.82368</f>
        <v>922.82367999999997</v>
      </c>
      <c r="G175" s="45">
        <f>D175-F175-F176</f>
        <v>3233.8281900000002</v>
      </c>
      <c r="H175" s="274">
        <f>583.59407</f>
        <v>583.59406999999999</v>
      </c>
      <c r="I175" s="1"/>
      <c r="J175" s="122"/>
    </row>
    <row r="176" spans="1:10" ht="14.1" customHeight="1" x14ac:dyDescent="0.25">
      <c r="A176" s="1"/>
      <c r="B176" s="252"/>
      <c r="C176" s="139" t="s">
        <v>54</v>
      </c>
      <c r="D176" s="183"/>
      <c r="E176" s="154">
        <f>142.36431</f>
        <v>142.36430999999999</v>
      </c>
      <c r="F176" s="154">
        <f>831.34813</f>
        <v>831.34812999999997</v>
      </c>
      <c r="G176" s="215"/>
      <c r="H176" s="154">
        <f>965.51494</f>
        <v>965.51494000000002</v>
      </c>
      <c r="I176" s="1"/>
      <c r="J176" s="122"/>
    </row>
    <row r="177" spans="1:10" ht="15.6" customHeight="1" x14ac:dyDescent="0.25">
      <c r="A177" s="1"/>
      <c r="B177" s="252"/>
      <c r="C177" s="171" t="s">
        <v>77</v>
      </c>
      <c r="D177" s="100">
        <v>200</v>
      </c>
      <c r="E177" s="174">
        <f>0</f>
        <v>0</v>
      </c>
      <c r="F177" s="174">
        <f>55.41002</f>
        <v>55.410020000000003</v>
      </c>
      <c r="G177" s="174">
        <f>D177-F177</f>
        <v>144.58998</v>
      </c>
      <c r="H177" s="174">
        <f>48.95794</f>
        <v>48.957940000000001</v>
      </c>
      <c r="I177" s="1"/>
      <c r="J177" s="122"/>
    </row>
    <row r="178" spans="1:10" ht="14.1" customHeight="1" x14ac:dyDescent="0.25">
      <c r="A178" s="70"/>
      <c r="B178" s="81"/>
      <c r="C178" s="182" t="s">
        <v>78</v>
      </c>
      <c r="D178" s="183">
        <v>7481</v>
      </c>
      <c r="E178" s="183">
        <f>E179+E180+E181</f>
        <v>549.62008000000003</v>
      </c>
      <c r="F178" s="183">
        <f>F179+F180+F181</f>
        <v>4768.9483499999997</v>
      </c>
      <c r="G178" s="183">
        <f>D178-F178</f>
        <v>2712.0516500000003</v>
      </c>
      <c r="H178" s="183">
        <f>H179+H180+H181</f>
        <v>4779.8954599999997</v>
      </c>
      <c r="I178" s="70"/>
      <c r="J178" s="118"/>
    </row>
    <row r="179" spans="1:10" ht="14.1" customHeight="1" x14ac:dyDescent="0.25">
      <c r="A179" s="199"/>
      <c r="B179" s="184"/>
      <c r="C179" s="185" t="s">
        <v>79</v>
      </c>
      <c r="D179" s="129"/>
      <c r="E179" s="129">
        <f>242.79936</f>
        <v>242.79936000000001</v>
      </c>
      <c r="F179" s="129">
        <f>2238.68407</f>
        <v>2238.6840699999998</v>
      </c>
      <c r="G179" s="129"/>
      <c r="H179" s="129">
        <f>2388.28874</f>
        <v>2388.28874</v>
      </c>
      <c r="I179" s="188"/>
      <c r="J179" s="131"/>
    </row>
    <row r="180" spans="1:10" ht="14.1" customHeight="1" x14ac:dyDescent="0.25">
      <c r="A180" s="199"/>
      <c r="B180" s="184"/>
      <c r="C180" s="185" t="s">
        <v>80</v>
      </c>
      <c r="D180" s="129"/>
      <c r="E180" s="129">
        <f>195.51114</f>
        <v>195.51114000000001</v>
      </c>
      <c r="F180" s="129">
        <f>1576.83084</f>
        <v>1576.8308400000001</v>
      </c>
      <c r="G180" s="129"/>
      <c r="H180" s="129">
        <f>1482.35639</f>
        <v>1482.3563899999999</v>
      </c>
      <c r="I180" s="188"/>
      <c r="J180" s="189"/>
    </row>
    <row r="181" spans="1:10" ht="14.1" customHeight="1" x14ac:dyDescent="0.25">
      <c r="A181" s="199"/>
      <c r="B181" s="184"/>
      <c r="C181" s="191" t="s">
        <v>81</v>
      </c>
      <c r="D181" s="194"/>
      <c r="E181" s="194">
        <f>111.30958</f>
        <v>111.30958</v>
      </c>
      <c r="F181" s="194">
        <f>953.43344</f>
        <v>953.43344000000002</v>
      </c>
      <c r="G181" s="194"/>
      <c r="H181" s="194">
        <f>909.25033</f>
        <v>909.25032999999996</v>
      </c>
      <c r="I181" s="188"/>
      <c r="J181" s="189"/>
    </row>
    <row r="182" spans="1:10" ht="14.1" customHeight="1" x14ac:dyDescent="0.25">
      <c r="A182" s="1"/>
      <c r="B182" s="252"/>
      <c r="C182" s="75" t="s">
        <v>82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83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723.19100000000003</v>
      </c>
      <c r="F184" s="196">
        <f>F175+F176+F177+F178+F182+F183</f>
        <v>6578.5301799999997</v>
      </c>
      <c r="G184" s="196">
        <f>D184-F184</f>
        <v>6156.4698200000003</v>
      </c>
      <c r="H184" s="196">
        <f>H175+H176+H177+H178+H182+H183</f>
        <v>6377.9624100000001</v>
      </c>
      <c r="I184" s="165"/>
      <c r="J184" s="162"/>
    </row>
    <row r="185" spans="1:10" ht="42" customHeight="1" x14ac:dyDescent="0.25">
      <c r="A185" s="1"/>
      <c r="B185" s="200"/>
      <c r="C185" s="225" t="s">
        <v>133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120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120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84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120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2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85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86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87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134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135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136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140</v>
      </c>
      <c r="F203" s="68" t="s">
        <v>141</v>
      </c>
      <c r="G203" s="68" t="s">
        <v>142</v>
      </c>
      <c r="H203" s="68" t="s">
        <v>143</v>
      </c>
      <c r="I203" s="1"/>
      <c r="J203" s="122"/>
    </row>
    <row r="204" spans="1:10" ht="15" customHeight="1" x14ac:dyDescent="0.25">
      <c r="A204" s="1"/>
      <c r="B204" s="252"/>
      <c r="C204" s="90" t="s">
        <v>4</v>
      </c>
      <c r="D204" s="124">
        <v>43839</v>
      </c>
      <c r="E204" s="124">
        <f>3557.65384</f>
        <v>3557.6538399999999</v>
      </c>
      <c r="F204" s="124">
        <f>34542.62336</f>
        <v>34542.623359999998</v>
      </c>
      <c r="G204" s="124">
        <f>D204-F204</f>
        <v>9296.3766400000022</v>
      </c>
      <c r="H204" s="124">
        <f>21284.58809</f>
        <v>21284.588090000001</v>
      </c>
      <c r="I204" s="246"/>
      <c r="J204" s="122"/>
    </row>
    <row r="205" spans="1:10" ht="15" customHeight="1" x14ac:dyDescent="0.25">
      <c r="A205" s="1"/>
      <c r="B205" s="252"/>
      <c r="C205" s="90" t="s">
        <v>68</v>
      </c>
      <c r="D205" s="124">
        <v>100</v>
      </c>
      <c r="E205" s="124">
        <f>0.91296</f>
        <v>0.91295999999999999</v>
      </c>
      <c r="F205" s="124">
        <f>16.46675</f>
        <v>16.466750000000001</v>
      </c>
      <c r="G205" s="124">
        <f>D205-F205</f>
        <v>83.533249999999995</v>
      </c>
      <c r="H205" s="124">
        <f>21.38755</f>
        <v>21.387550000000001</v>
      </c>
      <c r="I205" s="246"/>
      <c r="J205" s="122"/>
    </row>
    <row r="206" spans="1:10" ht="15.75" customHeight="1" x14ac:dyDescent="0.25">
      <c r="A206" s="1"/>
      <c r="B206" s="252"/>
      <c r="C206" s="146" t="s">
        <v>82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25">
      <c r="A207" s="1"/>
      <c r="B207" s="252"/>
      <c r="C207" s="179" t="s">
        <v>88</v>
      </c>
      <c r="D207" s="190">
        <f>SUM(D204:D206)</f>
        <v>43981</v>
      </c>
      <c r="E207" s="190">
        <f>SUM(E204:E206)</f>
        <v>3558.5668000000001</v>
      </c>
      <c r="F207" s="190">
        <f>SUM(F204:F206)</f>
        <v>34559.090109999997</v>
      </c>
      <c r="G207" s="190">
        <f>D207-F207</f>
        <v>9421.9098900000026</v>
      </c>
      <c r="H207" s="190">
        <f>SUM(H204:H206)</f>
        <v>21305.975640000001</v>
      </c>
      <c r="I207" s="246"/>
      <c r="J207" s="122"/>
    </row>
    <row r="208" spans="1:10" ht="17.100000000000001" customHeight="1" x14ac:dyDescent="0.25">
      <c r="A208" s="1"/>
      <c r="B208" s="166"/>
      <c r="C208" s="201" t="s">
        <v>89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120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30" customHeight="1" x14ac:dyDescent="0.25">
      <c r="A243" s="216"/>
      <c r="B243" s="216"/>
      <c r="C243" s="217" t="s">
        <v>90</v>
      </c>
      <c r="D243" s="216"/>
      <c r="E243" s="216"/>
      <c r="F243" s="216"/>
      <c r="G243" s="216"/>
      <c r="H243" s="216"/>
      <c r="I243" s="216"/>
      <c r="J243" s="222"/>
    </row>
    <row r="244" spans="1:10" ht="30" customHeight="1" x14ac:dyDescent="0.25">
      <c r="A244" s="216" t="s">
        <v>120</v>
      </c>
      <c r="B244" s="216"/>
      <c r="C244" s="217"/>
      <c r="D244" s="216"/>
      <c r="E244" s="216"/>
      <c r="F244" s="216"/>
      <c r="G244" s="216"/>
      <c r="H244" s="216"/>
      <c r="I244" s="216"/>
      <c r="J244" s="222"/>
    </row>
    <row r="245" spans="1:10" ht="14.1" customHeight="1" x14ac:dyDescent="0.25">
      <c r="A245" s="1"/>
      <c r="B245" s="138"/>
      <c r="C245" s="176"/>
      <c r="D245" s="176"/>
      <c r="E245" s="176"/>
      <c r="F245" s="176"/>
      <c r="G245" s="176"/>
      <c r="H245" s="176"/>
      <c r="I245" s="176"/>
      <c r="J245" s="164"/>
    </row>
    <row r="246" spans="1:10" ht="14.1" customHeight="1" x14ac:dyDescent="0.25">
      <c r="A246" s="159"/>
      <c r="B246" s="54"/>
      <c r="C246" s="151" t="s">
        <v>1</v>
      </c>
      <c r="D246" s="187"/>
      <c r="E246" s="152"/>
      <c r="F246" s="152"/>
      <c r="G246" s="159"/>
      <c r="H246" s="159"/>
      <c r="I246" s="159"/>
      <c r="J246" s="122"/>
    </row>
    <row r="247" spans="1:10" ht="14.1" customHeight="1" x14ac:dyDescent="0.25">
      <c r="A247" s="1"/>
      <c r="B247" s="252"/>
      <c r="C247" s="257" t="s">
        <v>85</v>
      </c>
      <c r="D247" s="268">
        <v>3299</v>
      </c>
      <c r="E247" s="152"/>
      <c r="F247" s="223"/>
      <c r="G247" s="1"/>
      <c r="H247" s="1"/>
      <c r="I247" s="1"/>
      <c r="J247" s="122"/>
    </row>
    <row r="248" spans="1:10" ht="14.1" customHeight="1" x14ac:dyDescent="0.25">
      <c r="A248" s="1"/>
      <c r="B248" s="252"/>
      <c r="C248" s="246" t="s">
        <v>91</v>
      </c>
      <c r="D248" s="46">
        <v>9882</v>
      </c>
      <c r="E248" s="152"/>
      <c r="F248" s="223"/>
      <c r="G248" s="1"/>
      <c r="H248" s="1"/>
      <c r="I248" s="1"/>
      <c r="J248" s="122"/>
    </row>
    <row r="249" spans="1:10" ht="14.1" customHeight="1" x14ac:dyDescent="0.25">
      <c r="A249" s="1"/>
      <c r="B249" s="252"/>
      <c r="C249" s="246" t="s">
        <v>92</v>
      </c>
      <c r="D249" s="46">
        <v>8089</v>
      </c>
      <c r="E249" s="152"/>
      <c r="F249" s="223"/>
      <c r="G249" s="1"/>
      <c r="H249" s="1"/>
      <c r="I249" s="1"/>
      <c r="J249" s="122"/>
    </row>
    <row r="250" spans="1:10" ht="13.5" customHeight="1" x14ac:dyDescent="0.25">
      <c r="A250" s="1"/>
      <c r="B250" s="252"/>
      <c r="C250" s="246" t="s">
        <v>75</v>
      </c>
      <c r="D250" s="46">
        <v>382</v>
      </c>
      <c r="E250" s="152"/>
      <c r="F250" s="223"/>
      <c r="G250" s="1"/>
      <c r="H250" s="1"/>
      <c r="I250" s="1"/>
      <c r="J250" s="122"/>
    </row>
    <row r="251" spans="1:10" ht="14.25" customHeight="1" x14ac:dyDescent="0.25">
      <c r="A251" s="1"/>
      <c r="B251" s="252"/>
      <c r="C251" s="57" t="s">
        <v>50</v>
      </c>
      <c r="D251" s="35">
        <f>SUM(D247:D250)</f>
        <v>21652</v>
      </c>
      <c r="E251" s="152"/>
      <c r="F251" s="152"/>
      <c r="G251" s="1"/>
      <c r="H251" s="1"/>
      <c r="I251" s="1"/>
      <c r="J251" s="122"/>
    </row>
    <row r="252" spans="1:10" ht="14.1" customHeight="1" x14ac:dyDescent="0.25">
      <c r="A252" s="1"/>
      <c r="B252" s="252"/>
      <c r="C252" s="226" t="s">
        <v>93</v>
      </c>
      <c r="D252" s="227"/>
      <c r="E252" s="181"/>
      <c r="F252" s="181"/>
      <c r="G252" s="1"/>
      <c r="H252" s="1"/>
      <c r="I252" s="1"/>
      <c r="J252" s="122"/>
    </row>
    <row r="253" spans="1:10" ht="15" customHeight="1" x14ac:dyDescent="0.25">
      <c r="A253" s="1"/>
      <c r="B253" s="252"/>
      <c r="C253" s="101" t="s">
        <v>94</v>
      </c>
      <c r="D253" s="228"/>
      <c r="E253" s="1"/>
      <c r="F253" s="1"/>
      <c r="G253" s="1"/>
      <c r="H253" s="1"/>
      <c r="I253" s="1"/>
      <c r="J253" s="122"/>
    </row>
    <row r="254" spans="1:10" ht="14.25" customHeight="1" x14ac:dyDescent="0.25">
      <c r="A254" s="1"/>
      <c r="B254" s="252"/>
      <c r="C254" s="101" t="s">
        <v>95</v>
      </c>
      <c r="D254" s="1"/>
      <c r="E254" s="1"/>
      <c r="F254" s="1"/>
      <c r="G254" s="1"/>
      <c r="H254" s="1"/>
      <c r="I254" s="1"/>
      <c r="J254" s="122"/>
    </row>
    <row r="255" spans="1:10" ht="23.25" customHeight="1" x14ac:dyDescent="0.25">
      <c r="A255" s="1"/>
      <c r="B255" s="229"/>
      <c r="C255" s="232" t="s">
        <v>15</v>
      </c>
      <c r="D255" s="232"/>
      <c r="E255" s="232"/>
      <c r="F255" s="232"/>
      <c r="G255" s="232"/>
      <c r="H255" s="232"/>
      <c r="I255" s="232"/>
      <c r="J255" s="236"/>
    </row>
    <row r="256" spans="1:10" ht="14.1" customHeight="1" x14ac:dyDescent="0.25">
      <c r="A256" s="1"/>
      <c r="B256" s="238"/>
      <c r="C256" s="240"/>
      <c r="D256" s="240"/>
      <c r="E256" s="240"/>
      <c r="F256" s="240"/>
      <c r="G256" s="240"/>
      <c r="H256" s="240"/>
      <c r="I256" s="240"/>
      <c r="J256" s="122"/>
    </row>
    <row r="257" spans="1:10" ht="54" customHeight="1" x14ac:dyDescent="0.25">
      <c r="A257" s="1"/>
      <c r="B257" s="252"/>
      <c r="C257" s="68" t="s">
        <v>16</v>
      </c>
      <c r="D257" s="241" t="s">
        <v>2</v>
      </c>
      <c r="E257" s="68" t="s">
        <v>140</v>
      </c>
      <c r="F257" s="68" t="s">
        <v>141</v>
      </c>
      <c r="G257" s="68" t="s">
        <v>142</v>
      </c>
      <c r="H257" s="68" t="s">
        <v>143</v>
      </c>
      <c r="I257" s="1"/>
      <c r="J257" s="118"/>
    </row>
    <row r="258" spans="1:10" ht="14.1" customHeight="1" x14ac:dyDescent="0.25">
      <c r="A258" s="70"/>
      <c r="B258" s="81"/>
      <c r="C258" s="90" t="s">
        <v>96</v>
      </c>
      <c r="D258" s="124">
        <v>800</v>
      </c>
      <c r="E258" s="124">
        <f>14.92996</f>
        <v>14.929959999999999</v>
      </c>
      <c r="F258" s="124">
        <f>249.49617</f>
        <v>249.49617000000001</v>
      </c>
      <c r="G258" s="124">
        <f>D258-F258</f>
        <v>550.50382999999999</v>
      </c>
      <c r="H258" s="124">
        <f>156.65382</f>
        <v>156.65382</v>
      </c>
      <c r="I258" s="70"/>
      <c r="J258" s="242"/>
    </row>
    <row r="259" spans="1:10" ht="14.1" customHeight="1" x14ac:dyDescent="0.25">
      <c r="A259" s="1"/>
      <c r="B259" s="252"/>
      <c r="C259" s="90" t="s">
        <v>97</v>
      </c>
      <c r="D259" s="244">
        <v>2494</v>
      </c>
      <c r="E259" s="124">
        <f>66.4544</f>
        <v>66.454400000000007</v>
      </c>
      <c r="F259" s="124">
        <f>698.69588</f>
        <v>698.69587999999999</v>
      </c>
      <c r="G259" s="124">
        <f>D259-F259</f>
        <v>1795.30412</v>
      </c>
      <c r="H259" s="124">
        <f>495.37827</f>
        <v>495.37826999999999</v>
      </c>
      <c r="I259" s="181"/>
      <c r="J259" s="118"/>
    </row>
    <row r="260" spans="1:10" ht="16.5" customHeight="1" x14ac:dyDescent="0.25">
      <c r="A260" s="70"/>
      <c r="B260" s="81"/>
      <c r="C260" s="146" t="s">
        <v>82</v>
      </c>
      <c r="D260" s="244">
        <v>5</v>
      </c>
      <c r="E260" s="168">
        <f>0.00354</f>
        <v>3.5400000000000002E-3</v>
      </c>
      <c r="F260" s="168">
        <f>0.63874</f>
        <v>0.63873999999999997</v>
      </c>
      <c r="G260" s="124">
        <f>D260-F260</f>
        <v>4.3612599999999997</v>
      </c>
      <c r="H260" s="168">
        <f>0.9169</f>
        <v>0.91690000000000005</v>
      </c>
      <c r="I260" s="70"/>
      <c r="J260" s="247"/>
    </row>
    <row r="261" spans="1:10" ht="18.75" customHeight="1" x14ac:dyDescent="0.25">
      <c r="A261" s="70"/>
      <c r="B261" s="248"/>
      <c r="C261" s="146" t="s">
        <v>98</v>
      </c>
      <c r="D261" s="220"/>
      <c r="E261" s="168">
        <f>0.00711</f>
        <v>7.11E-3</v>
      </c>
      <c r="F261" s="168">
        <f>1.64935</f>
        <v>1.6493500000000001</v>
      </c>
      <c r="G261" s="124"/>
      <c r="H261" s="168">
        <f>3.1181</f>
        <v>3.1181000000000001</v>
      </c>
      <c r="I261" s="282"/>
      <c r="J261" s="122"/>
    </row>
    <row r="262" spans="1:10" ht="14.1" customHeight="1" x14ac:dyDescent="0.25">
      <c r="A262" s="1"/>
      <c r="B262" s="252"/>
      <c r="C262" s="179" t="s">
        <v>88</v>
      </c>
      <c r="D262" s="6">
        <f>D247</f>
        <v>3299</v>
      </c>
      <c r="E262" s="190">
        <f>SUM(E258:E261)</f>
        <v>81.395009999999999</v>
      </c>
      <c r="F262" s="190">
        <f>SUM(F258:F261)</f>
        <v>950.48014000000001</v>
      </c>
      <c r="G262" s="190">
        <f>D262-F262</f>
        <v>2348.5198599999999</v>
      </c>
      <c r="H262" s="190">
        <f>H258+H259+H260+H261</f>
        <v>656.06709000000001</v>
      </c>
      <c r="I262" s="1"/>
      <c r="J262" s="122"/>
    </row>
    <row r="263" spans="1:10" ht="14.1" customHeight="1" x14ac:dyDescent="0.25">
      <c r="A263" s="1"/>
      <c r="B263" s="252"/>
      <c r="C263" s="21"/>
      <c r="D263" s="34"/>
      <c r="E263" s="34"/>
      <c r="F263" s="34"/>
      <c r="G263" s="34"/>
      <c r="H263" s="34"/>
      <c r="I263" s="1"/>
      <c r="J263" s="122"/>
    </row>
    <row r="264" spans="1:10" ht="14.1" customHeight="1" x14ac:dyDescent="0.25">
      <c r="A264" s="1"/>
      <c r="B264" s="166"/>
      <c r="C264" s="109"/>
      <c r="D264" s="109"/>
      <c r="E264" s="109"/>
      <c r="F264" s="109"/>
      <c r="G264" s="108"/>
      <c r="H264" s="109"/>
      <c r="I264" s="109"/>
      <c r="J264" s="120"/>
    </row>
    <row r="265" spans="1:10" ht="14.1" customHeight="1" x14ac:dyDescent="0.25">
      <c r="A265" s="1"/>
      <c r="C265" s="152" t="s">
        <v>120</v>
      </c>
    </row>
    <row r="266" spans="1:10" ht="14.1" customHeight="1" x14ac:dyDescent="0.25">
      <c r="A266" s="1" t="s">
        <v>120</v>
      </c>
    </row>
    <row r="267" spans="1:10" ht="14.1" customHeight="1" x14ac:dyDescent="0.25">
      <c r="A267" s="1" t="s">
        <v>120</v>
      </c>
    </row>
    <row r="268" spans="1:10" ht="14.1" customHeight="1" x14ac:dyDescent="0.25">
      <c r="A268" s="1"/>
      <c r="C268" s="152" t="s">
        <v>120</v>
      </c>
    </row>
    <row r="269" spans="1:10" ht="36" customHeight="1" x14ac:dyDescent="0.25">
      <c r="A269" s="1"/>
      <c r="C269" s="152" t="s">
        <v>120</v>
      </c>
    </row>
    <row r="270" spans="1:10" ht="14.1" customHeight="1" x14ac:dyDescent="0.25">
      <c r="A270" s="1"/>
      <c r="C270" s="152" t="s">
        <v>120</v>
      </c>
    </row>
    <row r="271" spans="1:10" ht="14.1" customHeight="1" x14ac:dyDescent="0.25">
      <c r="A271" s="1"/>
      <c r="C271" s="152" t="s">
        <v>120</v>
      </c>
    </row>
    <row r="272" spans="1:10" ht="30" customHeight="1" x14ac:dyDescent="0.35">
      <c r="A272" s="216"/>
      <c r="B272" s="1"/>
      <c r="C272" s="213" t="s">
        <v>99</v>
      </c>
      <c r="D272" s="159"/>
      <c r="E272" s="1"/>
      <c r="F272" s="1"/>
      <c r="G272" s="1"/>
      <c r="H272" s="1"/>
      <c r="I272" s="1"/>
      <c r="J272" s="1"/>
    </row>
    <row r="273" spans="1:10" ht="17.100000000000001" customHeight="1" x14ac:dyDescent="0.25">
      <c r="B273" s="126"/>
      <c r="C273" s="237"/>
      <c r="D273" s="237"/>
      <c r="E273" s="237"/>
      <c r="F273" s="237"/>
      <c r="G273" s="237"/>
      <c r="H273" s="237"/>
      <c r="I273" s="237"/>
      <c r="J273" s="62"/>
    </row>
    <row r="274" spans="1:10" ht="6" customHeight="1" x14ac:dyDescent="0.25">
      <c r="B274" s="74"/>
      <c r="C274" s="152"/>
      <c r="D274" s="152"/>
      <c r="E274" s="152"/>
      <c r="F274" s="152"/>
      <c r="G274" s="152"/>
      <c r="H274" s="152"/>
      <c r="I274" s="152"/>
      <c r="J274" s="132"/>
    </row>
    <row r="275" spans="1:10" ht="18" customHeight="1" x14ac:dyDescent="0.25">
      <c r="B275" s="74"/>
      <c r="C275" s="151" t="s">
        <v>1</v>
      </c>
      <c r="D275" s="187"/>
      <c r="E275" s="151" t="s">
        <v>100</v>
      </c>
      <c r="F275" s="187"/>
      <c r="G275" s="151" t="s">
        <v>101</v>
      </c>
      <c r="H275" s="187"/>
      <c r="I275" s="152"/>
      <c r="J275" s="132"/>
    </row>
    <row r="276" spans="1:10" ht="14.25" customHeight="1" x14ac:dyDescent="0.25">
      <c r="B276" s="74"/>
      <c r="C276" s="257" t="s">
        <v>85</v>
      </c>
      <c r="D276" s="268">
        <v>27365</v>
      </c>
      <c r="E276" s="250" t="s">
        <v>4</v>
      </c>
      <c r="F276" s="105">
        <v>13865</v>
      </c>
      <c r="G276" s="246" t="s">
        <v>20</v>
      </c>
      <c r="H276" s="46">
        <v>6472</v>
      </c>
      <c r="I276" s="152"/>
      <c r="J276" s="132"/>
    </row>
    <row r="277" spans="1:10" ht="14.25" customHeight="1" x14ac:dyDescent="0.25">
      <c r="B277" s="74"/>
      <c r="C277" s="246" t="s">
        <v>92</v>
      </c>
      <c r="D277" s="46">
        <v>19433</v>
      </c>
      <c r="E277" s="181" t="s">
        <v>97</v>
      </c>
      <c r="F277" s="49">
        <v>8000</v>
      </c>
      <c r="G277" s="246" t="s">
        <v>21</v>
      </c>
      <c r="H277" s="46">
        <v>1684</v>
      </c>
      <c r="I277" s="152"/>
      <c r="J277" s="132"/>
    </row>
    <row r="278" spans="1:10" ht="14.25" customHeight="1" x14ac:dyDescent="0.25">
      <c r="B278" s="74"/>
      <c r="C278" s="246" t="s">
        <v>91</v>
      </c>
      <c r="D278" s="46">
        <v>6186</v>
      </c>
      <c r="E278" s="181" t="s">
        <v>60</v>
      </c>
      <c r="F278" s="49">
        <v>5500</v>
      </c>
      <c r="G278" s="246" t="s">
        <v>102</v>
      </c>
      <c r="H278" s="46">
        <v>4296</v>
      </c>
      <c r="I278" s="152"/>
      <c r="J278" s="132"/>
    </row>
    <row r="279" spans="1:10" ht="14.1" customHeight="1" x14ac:dyDescent="0.25">
      <c r="B279" s="74"/>
      <c r="C279" s="246"/>
      <c r="D279" s="46"/>
      <c r="E279" s="133"/>
      <c r="F279" s="147"/>
      <c r="G279" s="246" t="s">
        <v>103</v>
      </c>
      <c r="H279" s="46">
        <v>1313</v>
      </c>
      <c r="I279" s="152"/>
      <c r="J279" s="132"/>
    </row>
    <row r="280" spans="1:10" ht="14.1" customHeight="1" x14ac:dyDescent="0.25">
      <c r="B280" s="74"/>
      <c r="C280" s="57" t="s">
        <v>50</v>
      </c>
      <c r="D280" s="35">
        <v>53374</v>
      </c>
      <c r="E280" s="175" t="s">
        <v>104</v>
      </c>
      <c r="F280" s="35">
        <f>F276+F277+F278</f>
        <v>27365</v>
      </c>
      <c r="G280" s="57" t="s">
        <v>4</v>
      </c>
      <c r="H280" s="35">
        <f>SUM(H276:H279)</f>
        <v>13765</v>
      </c>
      <c r="I280" s="152"/>
      <c r="J280" s="132"/>
    </row>
    <row r="281" spans="1:10" ht="13.35" customHeight="1" x14ac:dyDescent="0.25">
      <c r="B281" s="74"/>
      <c r="C281" s="101" t="s">
        <v>121</v>
      </c>
      <c r="D281" s="181"/>
      <c r="E281" s="181"/>
      <c r="F281" s="181"/>
      <c r="G281" s="1"/>
      <c r="H281" s="181"/>
      <c r="I281" s="181"/>
      <c r="J281" s="242"/>
    </row>
    <row r="282" spans="1:10" ht="13.35" customHeight="1" x14ac:dyDescent="0.25">
      <c r="B282" s="74"/>
      <c r="C282" s="101" t="s">
        <v>105</v>
      </c>
      <c r="D282" s="1"/>
      <c r="E282" s="1"/>
      <c r="F282" s="1"/>
      <c r="G282" s="1"/>
      <c r="H282" s="1"/>
      <c r="I282" s="1"/>
      <c r="J282" s="122"/>
    </row>
    <row r="283" spans="1:10" ht="9.75" customHeight="1" x14ac:dyDescent="0.25">
      <c r="B283" s="74"/>
      <c r="C283" s="101"/>
      <c r="D283" s="1"/>
      <c r="E283" s="1"/>
      <c r="F283" s="1"/>
      <c r="G283" s="1"/>
      <c r="H283" s="1"/>
      <c r="I283" s="1"/>
      <c r="J283" s="122"/>
    </row>
    <row r="284" spans="1:10" ht="18" customHeight="1" x14ac:dyDescent="0.25">
      <c r="B284" s="74"/>
      <c r="C284" s="152"/>
      <c r="D284" s="152"/>
      <c r="E284" s="152"/>
      <c r="F284" s="152"/>
      <c r="G284" s="152"/>
      <c r="H284" s="152"/>
      <c r="I284" s="152"/>
      <c r="J284" s="132"/>
    </row>
    <row r="285" spans="1:10" ht="29.25" customHeight="1" x14ac:dyDescent="0.25">
      <c r="B285" s="229"/>
      <c r="C285" s="232" t="s">
        <v>15</v>
      </c>
      <c r="D285" s="232"/>
      <c r="E285" s="232"/>
      <c r="F285" s="232"/>
      <c r="G285" s="232"/>
      <c r="H285" s="232"/>
      <c r="I285" s="232"/>
      <c r="J285" s="236"/>
    </row>
    <row r="286" spans="1:10" ht="18.75" customHeight="1" x14ac:dyDescent="0.25">
      <c r="B286" s="200"/>
      <c r="C286" s="222"/>
      <c r="D286" s="222"/>
      <c r="E286" s="222"/>
      <c r="F286" s="222"/>
      <c r="G286" s="222"/>
      <c r="H286" s="222"/>
      <c r="I286" s="222"/>
      <c r="J286" s="13"/>
    </row>
    <row r="287" spans="1:10" ht="64.5" customHeight="1" x14ac:dyDescent="0.25">
      <c r="B287" s="74"/>
      <c r="C287" s="221" t="s">
        <v>16</v>
      </c>
      <c r="D287" s="230" t="s">
        <v>17</v>
      </c>
      <c r="E287" s="68" t="s">
        <v>106</v>
      </c>
      <c r="F287" s="221" t="s">
        <v>140</v>
      </c>
      <c r="G287" s="221" t="s">
        <v>141</v>
      </c>
      <c r="H287" s="221" t="s">
        <v>142</v>
      </c>
      <c r="I287" s="221" t="s">
        <v>143</v>
      </c>
      <c r="J287" s="132"/>
    </row>
    <row r="288" spans="1:10" ht="14.1" customHeight="1" x14ac:dyDescent="0.25">
      <c r="A288" s="216"/>
      <c r="B288" s="74"/>
      <c r="C288" s="245" t="s">
        <v>19</v>
      </c>
      <c r="D288" s="249">
        <f t="shared" ref="D288:I288" si="14">D292+D291+D290+D289</f>
        <v>13765</v>
      </c>
      <c r="E288" s="249">
        <f t="shared" si="14"/>
        <v>16102</v>
      </c>
      <c r="F288" s="251">
        <f t="shared" si="14"/>
        <v>217.68335999999999</v>
      </c>
      <c r="G288" s="251">
        <f t="shared" si="14"/>
        <v>5081.3019999999997</v>
      </c>
      <c r="H288" s="251">
        <f>H292+H291+H290+H289</f>
        <v>11020.698</v>
      </c>
      <c r="I288" s="251">
        <f t="shared" si="14"/>
        <v>2886.08068</v>
      </c>
      <c r="J288" s="132"/>
    </row>
    <row r="289" spans="1:10" ht="14.1" customHeight="1" x14ac:dyDescent="0.25">
      <c r="A289" s="216"/>
      <c r="B289" s="74"/>
      <c r="C289" s="253" t="s">
        <v>107</v>
      </c>
      <c r="D289" s="254">
        <v>6472</v>
      </c>
      <c r="E289" s="254">
        <v>8177</v>
      </c>
      <c r="F289" s="255">
        <f>0</f>
        <v>0</v>
      </c>
      <c r="G289" s="255">
        <f>2008.18667</f>
        <v>2008.18667</v>
      </c>
      <c r="H289" s="255">
        <f t="shared" ref="H289:H293" si="15">E289-G289</f>
        <v>6168.81333</v>
      </c>
      <c r="I289" s="255">
        <f>1302.50178</f>
        <v>1302.5017800000001</v>
      </c>
      <c r="J289" s="132"/>
    </row>
    <row r="290" spans="1:10" ht="14.1" customHeight="1" x14ac:dyDescent="0.25">
      <c r="A290" s="216"/>
      <c r="B290" s="74"/>
      <c r="C290" s="258" t="s">
        <v>21</v>
      </c>
      <c r="D290" s="254">
        <v>1684</v>
      </c>
      <c r="E290" s="254">
        <v>2128</v>
      </c>
      <c r="F290" s="255">
        <f>0</f>
        <v>0</v>
      </c>
      <c r="G290" s="255">
        <f>806.0337</f>
        <v>806.03369999999995</v>
      </c>
      <c r="H290" s="255">
        <f t="shared" si="15"/>
        <v>1321.9663</v>
      </c>
      <c r="I290" s="255">
        <f>490.4118</f>
        <v>490.41180000000003</v>
      </c>
      <c r="J290" s="132"/>
    </row>
    <row r="291" spans="1:10" ht="14.1" customHeight="1" x14ac:dyDescent="0.25">
      <c r="A291" s="216"/>
      <c r="B291" s="74"/>
      <c r="C291" s="258" t="s">
        <v>103</v>
      </c>
      <c r="D291" s="254">
        <v>1313</v>
      </c>
      <c r="E291" s="254">
        <v>1357</v>
      </c>
      <c r="F291" s="255">
        <f>51.88596</f>
        <v>51.885959999999997</v>
      </c>
      <c r="G291" s="255">
        <f>1285.97353</f>
        <v>1285.97353</v>
      </c>
      <c r="H291" s="255">
        <f t="shared" si="15"/>
        <v>71.026470000000018</v>
      </c>
      <c r="I291" s="255">
        <f>918.0535</f>
        <v>918.05349999999999</v>
      </c>
      <c r="J291" s="132"/>
    </row>
    <row r="292" spans="1:10" ht="14.1" customHeight="1" x14ac:dyDescent="0.25">
      <c r="A292" s="216"/>
      <c r="B292" s="74"/>
      <c r="C292" s="260" t="s">
        <v>108</v>
      </c>
      <c r="D292" s="261">
        <v>4296</v>
      </c>
      <c r="E292" s="261">
        <v>4440</v>
      </c>
      <c r="F292" s="255">
        <f>165.7974</f>
        <v>165.79740000000001</v>
      </c>
      <c r="G292" s="255">
        <f>981.1081</f>
        <v>981.10810000000004</v>
      </c>
      <c r="H292" s="255">
        <f t="shared" si="15"/>
        <v>3458.8919000000001</v>
      </c>
      <c r="I292" s="255">
        <f>175.1136</f>
        <v>175.11359999999999</v>
      </c>
      <c r="J292" s="132"/>
    </row>
    <row r="293" spans="1:10" ht="14.1" customHeight="1" x14ac:dyDescent="0.25">
      <c r="A293" s="216"/>
      <c r="B293" s="74"/>
      <c r="C293" s="263" t="s">
        <v>60</v>
      </c>
      <c r="D293" s="264">
        <v>5500</v>
      </c>
      <c r="E293" s="264">
        <v>5500</v>
      </c>
      <c r="F293" s="266">
        <f>105.52296</f>
        <v>105.52296</v>
      </c>
      <c r="G293" s="266">
        <f>4644.82906</f>
        <v>4644.82906</v>
      </c>
      <c r="H293" s="266">
        <f t="shared" si="15"/>
        <v>855.17093999999997</v>
      </c>
      <c r="I293" s="266">
        <f>4422.61028</f>
        <v>4422.6102799999999</v>
      </c>
      <c r="J293" s="132"/>
    </row>
    <row r="294" spans="1:10" ht="14.1" customHeight="1" x14ac:dyDescent="0.25">
      <c r="A294" s="216"/>
      <c r="B294" s="74"/>
      <c r="C294" s="245" t="s">
        <v>22</v>
      </c>
      <c r="D294" s="249">
        <v>8000</v>
      </c>
      <c r="E294" s="249">
        <v>8000</v>
      </c>
      <c r="F294" s="267">
        <f>F296+F295</f>
        <v>154.65215000000001</v>
      </c>
      <c r="G294" s="267">
        <f>G296+G295</f>
        <v>1969.94929</v>
      </c>
      <c r="H294" s="267">
        <f>E294-G294</f>
        <v>6030.0507099999995</v>
      </c>
      <c r="I294" s="267">
        <f>I296+I295</f>
        <v>1732.7483200000001</v>
      </c>
      <c r="J294" s="132"/>
    </row>
    <row r="295" spans="1:10" ht="14.1" customHeight="1" x14ac:dyDescent="0.25">
      <c r="A295" s="216"/>
      <c r="B295" s="74"/>
      <c r="C295" s="258" t="s">
        <v>54</v>
      </c>
      <c r="D295" s="269"/>
      <c r="E295" s="254"/>
      <c r="F295" s="255">
        <f>0</f>
        <v>0</v>
      </c>
      <c r="G295" s="255">
        <f>748.37361</f>
        <v>748.37360999999999</v>
      </c>
      <c r="H295" s="255"/>
      <c r="I295" s="255">
        <f>898.40129</f>
        <v>898.40129000000002</v>
      </c>
      <c r="J295" s="132"/>
    </row>
    <row r="296" spans="1:10" ht="14.1" customHeight="1" x14ac:dyDescent="0.25">
      <c r="A296" s="216"/>
      <c r="B296" s="74"/>
      <c r="C296" s="271" t="s">
        <v>109</v>
      </c>
      <c r="D296" s="272"/>
      <c r="E296" s="275"/>
      <c r="F296" s="276">
        <f>154.65215</f>
        <v>154.65215000000001</v>
      </c>
      <c r="G296" s="276">
        <f>1221.57568</f>
        <v>1221.5756799999999</v>
      </c>
      <c r="H296" s="276"/>
      <c r="I296" s="276">
        <f>834.34703</f>
        <v>834.34703000000002</v>
      </c>
      <c r="J296" s="132"/>
    </row>
    <row r="297" spans="1:10" ht="14.1" customHeight="1" x14ac:dyDescent="0.25">
      <c r="A297" s="216"/>
      <c r="B297" s="74"/>
      <c r="C297" s="263" t="s">
        <v>34</v>
      </c>
      <c r="D297" s="264">
        <v>10</v>
      </c>
      <c r="E297" s="264">
        <v>10</v>
      </c>
      <c r="F297" s="266">
        <f>0.0084</f>
        <v>8.3999999999999995E-3</v>
      </c>
      <c r="G297" s="266">
        <f>0.0735</f>
        <v>7.3499999999999996E-2</v>
      </c>
      <c r="H297" s="266">
        <f>E297-G297</f>
        <v>9.9265000000000008</v>
      </c>
      <c r="I297" s="266">
        <f>0.1593</f>
        <v>0.1593</v>
      </c>
      <c r="J297" s="132"/>
    </row>
    <row r="298" spans="1:10" ht="14.1" customHeight="1" x14ac:dyDescent="0.25">
      <c r="A298" s="216"/>
      <c r="B298" s="74"/>
      <c r="C298" s="277" t="s">
        <v>110</v>
      </c>
      <c r="D298" s="280"/>
      <c r="E298" s="281"/>
      <c r="F298" s="266">
        <f>0.56296</f>
        <v>0.56296000000000002</v>
      </c>
      <c r="G298" s="266">
        <f>29.70144</f>
        <v>29.701440000000002</v>
      </c>
      <c r="H298" s="266">
        <f>E298-G298</f>
        <v>-29.701440000000002</v>
      </c>
      <c r="I298" s="266">
        <f>59.63567</f>
        <v>59.635669999999998</v>
      </c>
      <c r="J298" s="132"/>
    </row>
    <row r="299" spans="1:10" ht="19.5" customHeight="1" x14ac:dyDescent="0.25">
      <c r="A299" s="216"/>
      <c r="B299" s="74"/>
      <c r="C299" s="283" t="s">
        <v>41</v>
      </c>
      <c r="D299" s="284">
        <f>D288+D293+D294+D297+D298</f>
        <v>27275</v>
      </c>
      <c r="E299" s="284">
        <f>E288+E293+E294+E297+E298</f>
        <v>29612</v>
      </c>
      <c r="F299" s="285">
        <f t="shared" ref="F299:I299" si="16">F288+F293+F294+F297+F298</f>
        <v>478.42982999999998</v>
      </c>
      <c r="G299" s="285">
        <f t="shared" si="16"/>
        <v>11725.855290000001</v>
      </c>
      <c r="H299" s="285">
        <f>H288+H293+H294+H297+H298</f>
        <v>17886.14471</v>
      </c>
      <c r="I299" s="285">
        <f t="shared" si="16"/>
        <v>9101.2342499999995</v>
      </c>
      <c r="J299" s="132"/>
    </row>
    <row r="300" spans="1:10" ht="14.1" customHeight="1" x14ac:dyDescent="0.25">
      <c r="A300" s="216"/>
      <c r="B300" s="74"/>
      <c r="C300" s="163" t="s">
        <v>111</v>
      </c>
      <c r="D300" s="287"/>
      <c r="E300" s="287"/>
      <c r="F300" s="4"/>
      <c r="G300" s="4"/>
      <c r="H300" s="5"/>
      <c r="I300" s="5"/>
      <c r="J300" s="132"/>
    </row>
    <row r="301" spans="1:10" ht="14.1" customHeight="1" x14ac:dyDescent="0.25">
      <c r="A301" s="216"/>
      <c r="B301" s="74"/>
      <c r="C301" s="101" t="s">
        <v>122</v>
      </c>
      <c r="D301" s="287"/>
      <c r="E301" s="287"/>
      <c r="F301" s="4"/>
      <c r="G301" s="4"/>
      <c r="H301" s="7"/>
      <c r="I301" s="5"/>
      <c r="J301" s="132"/>
    </row>
    <row r="302" spans="1:10" ht="14.1" customHeight="1" x14ac:dyDescent="0.25">
      <c r="A302" s="216"/>
      <c r="B302" s="74"/>
      <c r="C302" s="101" t="s">
        <v>123</v>
      </c>
      <c r="D302" s="287"/>
      <c r="E302" s="287"/>
      <c r="F302" s="4"/>
      <c r="G302" s="4"/>
      <c r="H302" s="5"/>
      <c r="I302" s="7"/>
      <c r="J302" s="132"/>
    </row>
    <row r="303" spans="1:10" ht="15.75" customHeight="1" x14ac:dyDescent="0.25">
      <c r="A303" s="216"/>
      <c r="B303" s="8"/>
      <c r="C303" s="9"/>
      <c r="D303" s="109"/>
      <c r="E303" s="109"/>
      <c r="F303" s="109"/>
      <c r="G303" s="109"/>
      <c r="H303" s="109"/>
      <c r="I303" s="109"/>
      <c r="J303" s="12"/>
    </row>
    <row r="304" spans="1:10" ht="15.75" customHeight="1" x14ac:dyDescent="0.25">
      <c r="A304" s="216"/>
      <c r="B304" s="152" t="s">
        <v>120</v>
      </c>
      <c r="C304" s="14"/>
      <c r="D304" s="1"/>
      <c r="E304" s="1"/>
      <c r="F304" s="1"/>
      <c r="G304" s="1"/>
      <c r="H304" s="1"/>
      <c r="I304" s="1"/>
      <c r="J304" s="152"/>
    </row>
    <row r="305" spans="1:10" ht="15.75" customHeight="1" x14ac:dyDescent="0.25">
      <c r="A305" s="216"/>
      <c r="B305" s="152" t="s">
        <v>120</v>
      </c>
      <c r="C305" s="14"/>
      <c r="D305" s="1"/>
      <c r="E305" s="1"/>
      <c r="F305" s="1"/>
      <c r="G305" s="1"/>
      <c r="H305" s="1"/>
      <c r="I305" s="1"/>
      <c r="J305" s="152"/>
    </row>
    <row r="306" spans="1:10" ht="14.1" customHeight="1" x14ac:dyDescent="0.25">
      <c r="A306" s="216"/>
      <c r="C306" s="152" t="s">
        <v>120</v>
      </c>
      <c r="D306" s="159"/>
    </row>
    <row r="307" spans="1:10" ht="14.1" customHeight="1" x14ac:dyDescent="0.25">
      <c r="A307" s="216"/>
      <c r="B307" s="126"/>
      <c r="C307" s="237"/>
      <c r="D307" s="17"/>
      <c r="E307" s="237"/>
      <c r="F307" s="237"/>
      <c r="G307" s="237"/>
      <c r="H307" s="237"/>
      <c r="I307" s="237"/>
      <c r="J307" s="62"/>
    </row>
    <row r="308" spans="1:10" ht="14.1" customHeight="1" x14ac:dyDescent="0.25">
      <c r="A308" s="216"/>
      <c r="B308" s="74"/>
      <c r="C308" s="217" t="s">
        <v>112</v>
      </c>
      <c r="D308" s="159"/>
      <c r="E308" s="152"/>
      <c r="G308" s="152"/>
      <c r="H308" s="152"/>
      <c r="I308" s="152"/>
      <c r="J308" s="132"/>
    </row>
    <row r="309" spans="1:10" ht="14.1" customHeight="1" x14ac:dyDescent="0.25">
      <c r="A309" s="216"/>
      <c r="B309" s="74"/>
      <c r="C309" s="152"/>
      <c r="D309" s="159"/>
      <c r="E309" s="152"/>
      <c r="G309" s="152"/>
      <c r="H309" s="152"/>
      <c r="I309" s="152"/>
      <c r="J309" s="132"/>
    </row>
    <row r="310" spans="1:10" ht="14.1" customHeight="1" x14ac:dyDescent="0.25">
      <c r="A310" s="216"/>
      <c r="B310" s="74"/>
      <c r="C310" s="151" t="s">
        <v>113</v>
      </c>
      <c r="D310" s="187"/>
      <c r="E310" s="152"/>
      <c r="F310" s="152"/>
      <c r="G310" s="152"/>
      <c r="H310" s="152"/>
      <c r="I310" s="152"/>
      <c r="J310" s="132"/>
    </row>
    <row r="311" spans="1:10" ht="14.1" customHeight="1" x14ac:dyDescent="0.25">
      <c r="A311" s="216"/>
      <c r="B311" s="74"/>
      <c r="C311" s="257" t="s">
        <v>85</v>
      </c>
      <c r="D311" s="268">
        <v>3360</v>
      </c>
      <c r="E311" s="152"/>
      <c r="F311" s="152"/>
      <c r="G311" s="152"/>
      <c r="H311" s="152"/>
      <c r="I311" s="152"/>
      <c r="J311" s="132"/>
    </row>
    <row r="312" spans="1:10" ht="14.1" customHeight="1" x14ac:dyDescent="0.25">
      <c r="A312" s="216"/>
      <c r="B312" s="74"/>
      <c r="C312" s="246" t="s">
        <v>92</v>
      </c>
      <c r="D312" s="46">
        <v>2399</v>
      </c>
      <c r="E312" s="152"/>
      <c r="G312" s="152"/>
      <c r="H312" s="152"/>
      <c r="I312" s="152"/>
      <c r="J312" s="132"/>
    </row>
    <row r="313" spans="1:10" ht="14.1" customHeight="1" x14ac:dyDescent="0.25">
      <c r="A313" s="216"/>
      <c r="B313" s="74"/>
      <c r="C313" s="246" t="s">
        <v>75</v>
      </c>
      <c r="D313" s="46">
        <v>123</v>
      </c>
      <c r="E313" s="152"/>
      <c r="F313" s="152"/>
      <c r="G313" s="152"/>
      <c r="H313" s="152"/>
      <c r="I313" s="152"/>
      <c r="J313" s="132"/>
    </row>
    <row r="314" spans="1:10" ht="14.1" customHeight="1" x14ac:dyDescent="0.25">
      <c r="A314" s="216"/>
      <c r="B314" s="74"/>
      <c r="C314" s="57" t="s">
        <v>50</v>
      </c>
      <c r="D314" s="35">
        <v>5882</v>
      </c>
      <c r="E314" s="152"/>
      <c r="F314" s="152"/>
      <c r="G314" s="152"/>
      <c r="H314" s="152"/>
      <c r="I314" s="152"/>
      <c r="J314" s="132"/>
    </row>
    <row r="315" spans="1:10" ht="14.1" customHeight="1" x14ac:dyDescent="0.25">
      <c r="A315" s="216"/>
      <c r="B315" s="74"/>
      <c r="C315" s="226" t="s">
        <v>114</v>
      </c>
      <c r="D315" s="147"/>
      <c r="E315" s="152"/>
      <c r="F315" s="152"/>
      <c r="G315" s="152"/>
      <c r="H315" s="152"/>
      <c r="I315" s="152"/>
      <c r="J315" s="132"/>
    </row>
    <row r="316" spans="1:10" ht="14.1" customHeight="1" x14ac:dyDescent="0.25">
      <c r="A316" s="216"/>
      <c r="B316" s="74"/>
      <c r="C316" s="101" t="s">
        <v>124</v>
      </c>
      <c r="D316" s="133"/>
      <c r="E316" s="152"/>
      <c r="F316" s="152"/>
      <c r="G316" s="152"/>
      <c r="H316" s="152"/>
      <c r="I316" s="152"/>
      <c r="J316" s="132"/>
    </row>
    <row r="317" spans="1:10" ht="14.1" customHeight="1" x14ac:dyDescent="0.25">
      <c r="A317" s="216"/>
      <c r="B317" s="74"/>
      <c r="C317" s="152"/>
      <c r="D317" s="159"/>
      <c r="E317" s="152"/>
      <c r="F317" s="152"/>
      <c r="G317" s="152"/>
      <c r="H317" s="152"/>
      <c r="I317" s="152"/>
      <c r="J317" s="132"/>
    </row>
    <row r="318" spans="1:10" ht="14.1" customHeight="1" x14ac:dyDescent="0.25">
      <c r="A318" s="216"/>
      <c r="B318" s="74"/>
      <c r="C318" s="152"/>
      <c r="D318" s="152"/>
      <c r="E318" s="152"/>
      <c r="F318" s="152"/>
      <c r="G318" s="152"/>
      <c r="H318" s="152"/>
      <c r="I318" s="152"/>
      <c r="J318" s="132"/>
    </row>
    <row r="319" spans="1:10" ht="29.25" customHeight="1" x14ac:dyDescent="0.25">
      <c r="A319" s="216"/>
      <c r="B319" s="229"/>
      <c r="C319" s="232" t="s">
        <v>15</v>
      </c>
      <c r="D319" s="232"/>
      <c r="E319" s="232"/>
      <c r="F319" s="232"/>
      <c r="G319" s="232"/>
      <c r="H319" s="232"/>
      <c r="I319" s="232"/>
      <c r="J319" s="236"/>
    </row>
    <row r="320" spans="1:10" ht="78" customHeight="1" x14ac:dyDescent="0.25">
      <c r="A320" s="216"/>
      <c r="B320" s="200"/>
      <c r="C320" s="20" t="s">
        <v>115</v>
      </c>
      <c r="D320" s="22" t="s">
        <v>116</v>
      </c>
      <c r="E320" s="20" t="s">
        <v>140</v>
      </c>
      <c r="F320" s="20" t="s">
        <v>141</v>
      </c>
      <c r="G320" s="25" t="s">
        <v>142</v>
      </c>
      <c r="H320" s="20" t="s">
        <v>143</v>
      </c>
      <c r="I320" s="222"/>
      <c r="J320" s="13"/>
    </row>
    <row r="321" spans="1:10" ht="14.1" customHeight="1" x14ac:dyDescent="0.25">
      <c r="A321" s="216"/>
      <c r="B321" s="74"/>
      <c r="C321" s="263" t="s">
        <v>117</v>
      </c>
      <c r="D321" s="10">
        <v>2241</v>
      </c>
      <c r="E321" s="26">
        <f>E323+E322</f>
        <v>0</v>
      </c>
      <c r="F321" s="26">
        <f>F323+F322</f>
        <v>2196.6561299999998</v>
      </c>
      <c r="G321" s="87">
        <f>D321-F321</f>
        <v>44.343870000000152</v>
      </c>
      <c r="H321" s="26">
        <f>SUM(H322:H323)</f>
        <v>1387.8243299999999</v>
      </c>
      <c r="I321" s="27"/>
      <c r="J321" s="132"/>
    </row>
    <row r="322" spans="1:10" ht="14.1" customHeight="1" x14ac:dyDescent="0.25">
      <c r="A322" s="216"/>
      <c r="B322" s="74"/>
      <c r="C322" s="29" t="s">
        <v>8</v>
      </c>
      <c r="D322" s="206"/>
      <c r="E322" s="207">
        <f>0</f>
        <v>0</v>
      </c>
      <c r="F322" s="207">
        <f>1713.27513</f>
        <v>1713.27513</v>
      </c>
      <c r="G322" s="208"/>
      <c r="H322" s="207">
        <f>1082.54115</f>
        <v>1082.54115</v>
      </c>
      <c r="I322" s="152"/>
      <c r="J322" s="132"/>
    </row>
    <row r="323" spans="1:10" ht="14.1" customHeight="1" x14ac:dyDescent="0.25">
      <c r="A323" s="216"/>
      <c r="B323" s="74"/>
      <c r="C323" s="29" t="s">
        <v>11</v>
      </c>
      <c r="D323" s="209"/>
      <c r="E323" s="210">
        <f>0</f>
        <v>0</v>
      </c>
      <c r="F323" s="210">
        <f>483.381</f>
        <v>483.38099999999997</v>
      </c>
      <c r="G323" s="211"/>
      <c r="H323" s="210">
        <f>305.28318</f>
        <v>305.28318000000002</v>
      </c>
      <c r="I323" s="152"/>
      <c r="J323" s="132"/>
    </row>
    <row r="324" spans="1:10" ht="14.1" customHeight="1" x14ac:dyDescent="0.25">
      <c r="A324" s="216"/>
      <c r="B324" s="74"/>
      <c r="C324" s="263" t="s">
        <v>118</v>
      </c>
      <c r="D324" s="10">
        <v>1120</v>
      </c>
      <c r="E324" s="26">
        <f>SUM(E325:E326)</f>
        <v>83.335100000000011</v>
      </c>
      <c r="F324" s="26">
        <f>SUM(F325:F326)</f>
        <v>679.04048999999998</v>
      </c>
      <c r="G324" s="87">
        <f>D324-F324</f>
        <v>440.95951000000002</v>
      </c>
      <c r="H324" s="26">
        <f>SUM(H325:H326)</f>
        <v>583.33452</v>
      </c>
      <c r="I324" s="27"/>
      <c r="J324" s="132"/>
    </row>
    <row r="325" spans="1:10" ht="14.1" customHeight="1" x14ac:dyDescent="0.25">
      <c r="A325" s="216"/>
      <c r="B325" s="74"/>
      <c r="C325" s="29" t="s">
        <v>8</v>
      </c>
      <c r="D325" s="44"/>
      <c r="E325" s="30">
        <f>64.355</f>
        <v>64.355000000000004</v>
      </c>
      <c r="F325" s="30">
        <f>516.557</f>
        <v>516.55700000000002</v>
      </c>
      <c r="G325" s="99"/>
      <c r="H325" s="30">
        <f>449.21075</f>
        <v>449.21075000000002</v>
      </c>
      <c r="I325" s="152"/>
      <c r="J325" s="132"/>
    </row>
    <row r="326" spans="1:10" ht="14.1" customHeight="1" x14ac:dyDescent="0.25">
      <c r="A326" s="216"/>
      <c r="B326" s="74"/>
      <c r="C326" s="29" t="s">
        <v>11</v>
      </c>
      <c r="D326" s="219"/>
      <c r="E326" s="30">
        <f>18.9801</f>
        <v>18.9801</v>
      </c>
      <c r="F326" s="30">
        <f>162.48349</f>
        <v>162.48348999999999</v>
      </c>
      <c r="G326" s="110"/>
      <c r="H326" s="30">
        <f>134.12377</f>
        <v>134.12377000000001</v>
      </c>
      <c r="I326" s="152"/>
      <c r="J326" s="132"/>
    </row>
    <row r="327" spans="1:10" ht="14.1" customHeight="1" x14ac:dyDescent="0.25">
      <c r="A327" s="216"/>
      <c r="B327" s="74"/>
      <c r="C327" s="263" t="s">
        <v>119</v>
      </c>
      <c r="D327" s="10">
        <v>0</v>
      </c>
      <c r="E327" s="36">
        <f>SUM(E328:E329)</f>
        <v>0</v>
      </c>
      <c r="F327" s="36">
        <f>SUM(F328:F329)</f>
        <v>0</v>
      </c>
      <c r="G327" s="87">
        <f>D327-F327</f>
        <v>0</v>
      </c>
      <c r="H327" s="36">
        <f>SUM(H328:H329)</f>
        <v>0</v>
      </c>
      <c r="I327" s="152"/>
      <c r="J327" s="132"/>
    </row>
    <row r="328" spans="1:10" ht="14.1" customHeight="1" x14ac:dyDescent="0.25">
      <c r="A328" s="216"/>
      <c r="B328" s="74"/>
      <c r="C328" s="29" t="s">
        <v>8</v>
      </c>
      <c r="D328" s="44"/>
      <c r="E328" s="30">
        <f>0</f>
        <v>0</v>
      </c>
      <c r="F328" s="30">
        <f>0</f>
        <v>0</v>
      </c>
      <c r="G328" s="99"/>
      <c r="H328" s="30">
        <f>0</f>
        <v>0</v>
      </c>
      <c r="I328" s="152"/>
      <c r="J328" s="132"/>
    </row>
    <row r="329" spans="1:10" ht="14.1" customHeight="1" x14ac:dyDescent="0.25">
      <c r="A329" s="216"/>
      <c r="B329" s="74"/>
      <c r="C329" s="29" t="s">
        <v>11</v>
      </c>
      <c r="D329" s="219"/>
      <c r="E329" s="30">
        <f>0</f>
        <v>0</v>
      </c>
      <c r="F329" s="30">
        <f>0</f>
        <v>0</v>
      </c>
      <c r="G329" s="110"/>
      <c r="H329" s="30">
        <f>0</f>
        <v>0</v>
      </c>
      <c r="I329" s="152"/>
      <c r="J329" s="132"/>
    </row>
    <row r="330" spans="1:10" ht="14.1" customHeight="1" x14ac:dyDescent="0.25">
      <c r="A330" s="216"/>
      <c r="B330" s="74"/>
      <c r="C330" s="277" t="s">
        <v>98</v>
      </c>
      <c r="D330" s="37"/>
      <c r="E330" s="39"/>
      <c r="F330" s="39"/>
      <c r="G330" s="40"/>
      <c r="H330" s="39"/>
      <c r="I330" s="152"/>
      <c r="J330" s="132"/>
    </row>
    <row r="331" spans="1:10" ht="14.1" customHeight="1" x14ac:dyDescent="0.25">
      <c r="A331" s="216"/>
      <c r="B331" s="74"/>
      <c r="C331" s="283" t="s">
        <v>88</v>
      </c>
      <c r="D331" s="41">
        <f>D321+D324+D327</f>
        <v>3361</v>
      </c>
      <c r="E331" s="42">
        <f>E321+E324+E327+E330</f>
        <v>83.335100000000011</v>
      </c>
      <c r="F331" s="42">
        <f>F321+F324+F327+F330</f>
        <v>2875.6966199999997</v>
      </c>
      <c r="G331" s="43">
        <f>SUM(G321:G330)</f>
        <v>485.30338000000017</v>
      </c>
      <c r="H331" s="42">
        <f>H321+H324+H327+H330</f>
        <v>1971.1588499999998</v>
      </c>
      <c r="I331" s="27"/>
      <c r="J331" s="132"/>
    </row>
    <row r="332" spans="1:10" ht="14.1" customHeight="1" x14ac:dyDescent="0.25">
      <c r="A332" s="216"/>
      <c r="B332" s="74"/>
      <c r="C332" s="152"/>
      <c r="D332" s="159"/>
      <c r="E332" s="152"/>
      <c r="F332" s="152"/>
      <c r="G332" s="152"/>
      <c r="H332" s="152"/>
      <c r="I332" s="152"/>
      <c r="J332" s="132"/>
    </row>
    <row r="333" spans="1:10" ht="14.1" customHeight="1" x14ac:dyDescent="0.25">
      <c r="A333" s="216"/>
      <c r="B333" s="8"/>
      <c r="C333" s="212"/>
      <c r="D333" s="202"/>
      <c r="E333" s="212"/>
      <c r="F333" s="212"/>
      <c r="G333" s="212"/>
      <c r="H333" s="212"/>
      <c r="I333" s="212"/>
      <c r="J333" s="12"/>
    </row>
    <row r="334" spans="1:10" ht="0" hidden="1" customHeight="1" x14ac:dyDescent="0.25"/>
    <row r="335" spans="1:10" ht="0" hidden="1" customHeight="1" x14ac:dyDescent="0.25"/>
    <row r="336" spans="1:10" ht="0" hidden="1" customHeight="1" x14ac:dyDescent="0.25"/>
    <row r="337" ht="0" hidden="1" customHeight="1" x14ac:dyDescent="0.25"/>
    <row r="338" ht="0" hidden="1" customHeight="1" x14ac:dyDescent="0.25"/>
    <row r="339" ht="0" hidden="1" customHeight="1" x14ac:dyDescent="0.25"/>
    <row r="340" ht="0" hidden="1" customHeight="1" x14ac:dyDescent="0.25"/>
    <row r="341" ht="0" hidden="1" customHeight="1" x14ac:dyDescent="0.25"/>
    <row r="342" ht="0" hidden="1" customHeight="1" x14ac:dyDescent="0.25"/>
    <row r="343" ht="0" hidden="1" customHeight="1" x14ac:dyDescent="0.25"/>
    <row r="344" ht="0" hidden="1" customHeight="1" x14ac:dyDescent="0.25"/>
    <row r="345" ht="0" hidden="1" customHeight="1" x14ac:dyDescent="0.25"/>
    <row r="346" ht="0" hidden="1" customHeight="1" x14ac:dyDescent="0.25"/>
    <row r="347" ht="0" hidden="1" customHeight="1" x14ac:dyDescent="0.25"/>
    <row r="348" ht="0" hidden="1" customHeight="1" x14ac:dyDescent="0.25"/>
    <row r="349" ht="0" hidden="1" customHeight="1" x14ac:dyDescent="0.25"/>
    <row r="350" ht="0" hidden="1" customHeight="1" x14ac:dyDescent="0.25"/>
    <row r="351" ht="0" hidden="1" customHeight="1" x14ac:dyDescent="0.25"/>
    <row r="352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16.5" customHeight="1" x14ac:dyDescent="0.25"/>
  </sheetData>
  <mergeCells count="11">
    <mergeCell ref="B2:J2"/>
    <mergeCell ref="B9:J9"/>
    <mergeCell ref="C11:D11"/>
    <mergeCell ref="E11:F11"/>
    <mergeCell ref="G11:H11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Header>&amp;LForeløpig statistikk&amp;CPr. uke 24&amp;R19.06.2023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2023-06-19T07:28:13Z</dcterms:modified>
</cp:coreProperties>
</file>