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lmal\AppData\Local\Microsoft\Windows\INetCache\Content.Outlook\JPV7RF9W\"/>
    </mc:Choice>
  </mc:AlternateContent>
  <xr:revisionPtr revIDLastSave="0" documentId="13_ncr:1_{3026FA88-A1D8-41CF-B89C-BB4CBF342C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H32" i="1"/>
  <c r="F32" i="1"/>
  <c r="F36" i="1"/>
  <c r="F35" i="1"/>
  <c r="F34" i="1"/>
  <c r="G32" i="1"/>
  <c r="G28" i="1"/>
  <c r="G40" i="1"/>
  <c r="G30" i="1"/>
  <c r="G29" i="1"/>
  <c r="G39" i="1"/>
  <c r="G36" i="1"/>
  <c r="G35" i="1"/>
  <c r="G34" i="1"/>
  <c r="G23" i="1"/>
  <c r="G27" i="1" l="1"/>
  <c r="G26" i="1" s="1"/>
  <c r="G132" i="1" l="1"/>
  <c r="H55" i="1"/>
  <c r="H60" i="1"/>
  <c r="H28" i="1"/>
  <c r="D423" i="1"/>
  <c r="H422" i="1"/>
  <c r="F422" i="1"/>
  <c r="G422" i="1" s="1"/>
  <c r="E422" i="1"/>
  <c r="H421" i="1"/>
  <c r="F421" i="1"/>
  <c r="E421" i="1"/>
  <c r="H420" i="1"/>
  <c r="H419" i="1" s="1"/>
  <c r="F420" i="1"/>
  <c r="F419" i="1" s="1"/>
  <c r="G419" i="1" s="1"/>
  <c r="E420" i="1"/>
  <c r="E419" i="1"/>
  <c r="H418" i="1"/>
  <c r="F418" i="1"/>
  <c r="E418" i="1"/>
  <c r="E416" i="1" s="1"/>
  <c r="H417" i="1"/>
  <c r="F417" i="1"/>
  <c r="F416" i="1" s="1"/>
  <c r="G416" i="1" s="1"/>
  <c r="E417" i="1"/>
  <c r="H416" i="1"/>
  <c r="H415" i="1"/>
  <c r="H413" i="1" s="1"/>
  <c r="F415" i="1"/>
  <c r="E415" i="1"/>
  <c r="H414" i="1"/>
  <c r="F414" i="1"/>
  <c r="E414" i="1"/>
  <c r="E413" i="1" s="1"/>
  <c r="E423" i="1" s="1"/>
  <c r="F413" i="1"/>
  <c r="I390" i="1"/>
  <c r="H390" i="1"/>
  <c r="G390" i="1"/>
  <c r="F390" i="1"/>
  <c r="I389" i="1"/>
  <c r="H389" i="1"/>
  <c r="G389" i="1"/>
  <c r="F389" i="1"/>
  <c r="I388" i="1"/>
  <c r="I386" i="1" s="1"/>
  <c r="G388" i="1"/>
  <c r="G386" i="1" s="1"/>
  <c r="H386" i="1" s="1"/>
  <c r="F388" i="1"/>
  <c r="I387" i="1"/>
  <c r="G387" i="1"/>
  <c r="F387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H380" i="1" s="1"/>
  <c r="G383" i="1"/>
  <c r="F383" i="1"/>
  <c r="I382" i="1"/>
  <c r="H382" i="1"/>
  <c r="G382" i="1"/>
  <c r="F382" i="1"/>
  <c r="I381" i="1"/>
  <c r="H381" i="1"/>
  <c r="G381" i="1"/>
  <c r="F381" i="1"/>
  <c r="G380" i="1"/>
  <c r="F380" i="1"/>
  <c r="F391" i="1" s="1"/>
  <c r="D380" i="1"/>
  <c r="D391" i="1" s="1"/>
  <c r="H372" i="1"/>
  <c r="F372" i="1"/>
  <c r="D354" i="1"/>
  <c r="H353" i="1"/>
  <c r="G353" i="1"/>
  <c r="F353" i="1"/>
  <c r="E353" i="1"/>
  <c r="H352" i="1"/>
  <c r="G352" i="1"/>
  <c r="F352" i="1"/>
  <c r="E352" i="1"/>
  <c r="H351" i="1"/>
  <c r="H354" i="1" s="1"/>
  <c r="G351" i="1"/>
  <c r="F351" i="1"/>
  <c r="E351" i="1"/>
  <c r="H350" i="1"/>
  <c r="G350" i="1"/>
  <c r="F350" i="1"/>
  <c r="F354" i="1" s="1"/>
  <c r="E350" i="1"/>
  <c r="E354" i="1" s="1"/>
  <c r="D343" i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F249" i="1" s="1"/>
  <c r="E250" i="1"/>
  <c r="H207" i="1"/>
  <c r="D207" i="1"/>
  <c r="H206" i="1"/>
  <c r="F206" i="1"/>
  <c r="G206" i="1" s="1"/>
  <c r="E206" i="1"/>
  <c r="H205" i="1"/>
  <c r="F205" i="1"/>
  <c r="F207" i="1" s="1"/>
  <c r="G207" i="1" s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F178" i="1" s="1"/>
  <c r="E180" i="1"/>
  <c r="E178" i="1" s="1"/>
  <c r="H179" i="1"/>
  <c r="H178" i="1" s="1"/>
  <c r="F179" i="1"/>
  <c r="E179" i="1"/>
  <c r="H177" i="1"/>
  <c r="G177" i="1"/>
  <c r="F177" i="1"/>
  <c r="E177" i="1"/>
  <c r="H176" i="1"/>
  <c r="F176" i="1"/>
  <c r="E176" i="1"/>
  <c r="E184" i="1" s="1"/>
  <c r="H175" i="1"/>
  <c r="H184" i="1" s="1"/>
  <c r="G175" i="1"/>
  <c r="F175" i="1"/>
  <c r="E175" i="1"/>
  <c r="D167" i="1"/>
  <c r="D169" i="1" s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F139" i="1" s="1"/>
  <c r="I140" i="1"/>
  <c r="I139" i="1" s="1"/>
  <c r="H140" i="1"/>
  <c r="G140" i="1"/>
  <c r="F140" i="1"/>
  <c r="H139" i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H135" i="1"/>
  <c r="F135" i="1"/>
  <c r="F134" i="1"/>
  <c r="F133" i="1" s="1"/>
  <c r="E134" i="1"/>
  <c r="E133" i="1" s="1"/>
  <c r="D134" i="1"/>
  <c r="D133" i="1" s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H128" i="1" s="1"/>
  <c r="F129" i="1"/>
  <c r="F128" i="1" s="1"/>
  <c r="F150" i="1" s="1"/>
  <c r="I128" i="1"/>
  <c r="G128" i="1"/>
  <c r="E128" i="1"/>
  <c r="E150" i="1" s="1"/>
  <c r="D128" i="1"/>
  <c r="D150" i="1" s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H96" i="1" s="1"/>
  <c r="H95" i="1" s="1"/>
  <c r="G97" i="1"/>
  <c r="F97" i="1"/>
  <c r="G96" i="1"/>
  <c r="G95" i="1" s="1"/>
  <c r="F96" i="1"/>
  <c r="F95" i="1" s="1"/>
  <c r="E96" i="1"/>
  <c r="E95" i="1" s="1"/>
  <c r="D96" i="1"/>
  <c r="D95" i="1" s="1"/>
  <c r="I94" i="1"/>
  <c r="H94" i="1"/>
  <c r="G94" i="1"/>
  <c r="F94" i="1"/>
  <c r="I93" i="1"/>
  <c r="G93" i="1"/>
  <c r="G92" i="1" s="1"/>
  <c r="G107" i="1" s="1"/>
  <c r="F93" i="1"/>
  <c r="F92" i="1" s="1"/>
  <c r="F107" i="1" s="1"/>
  <c r="I92" i="1"/>
  <c r="I107" i="1" s="1"/>
  <c r="E92" i="1"/>
  <c r="E107" i="1" s="1"/>
  <c r="D92" i="1"/>
  <c r="D107" i="1" s="1"/>
  <c r="C89" i="1"/>
  <c r="H85" i="1"/>
  <c r="F85" i="1"/>
  <c r="D85" i="1"/>
  <c r="H61" i="1"/>
  <c r="I55" i="1"/>
  <c r="I32" i="1" s="1"/>
  <c r="G55" i="1"/>
  <c r="F55" i="1"/>
  <c r="I43" i="1"/>
  <c r="G43" i="1"/>
  <c r="H43" i="1" s="1"/>
  <c r="F43" i="1"/>
  <c r="H42" i="1"/>
  <c r="I41" i="1"/>
  <c r="G41" i="1"/>
  <c r="H41" i="1" s="1"/>
  <c r="F41" i="1"/>
  <c r="I40" i="1"/>
  <c r="H40" i="1"/>
  <c r="F40" i="1"/>
  <c r="I39" i="1"/>
  <c r="H39" i="1"/>
  <c r="F39" i="1"/>
  <c r="I38" i="1"/>
  <c r="G38" i="1"/>
  <c r="H38" i="1" s="1"/>
  <c r="F38" i="1"/>
  <c r="I37" i="1"/>
  <c r="G37" i="1"/>
  <c r="H37" i="1" s="1"/>
  <c r="F37" i="1"/>
  <c r="I36" i="1"/>
  <c r="H36" i="1"/>
  <c r="I35" i="1"/>
  <c r="E35" i="1"/>
  <c r="I34" i="1"/>
  <c r="D34" i="1"/>
  <c r="I33" i="1"/>
  <c r="H33" i="1"/>
  <c r="G33" i="1"/>
  <c r="F33" i="1"/>
  <c r="I31" i="1"/>
  <c r="H31" i="1"/>
  <c r="F31" i="1"/>
  <c r="I30" i="1"/>
  <c r="H30" i="1"/>
  <c r="F30" i="1"/>
  <c r="I29" i="1"/>
  <c r="H29" i="1"/>
  <c r="F29" i="1"/>
  <c r="I28" i="1"/>
  <c r="F28" i="1"/>
  <c r="E27" i="1"/>
  <c r="E26" i="1" s="1"/>
  <c r="D27" i="1"/>
  <c r="D26" i="1"/>
  <c r="I25" i="1"/>
  <c r="G25" i="1"/>
  <c r="H25" i="1" s="1"/>
  <c r="H23" i="1" s="1"/>
  <c r="F25" i="1"/>
  <c r="I24" i="1"/>
  <c r="H24" i="1"/>
  <c r="G24" i="1"/>
  <c r="F24" i="1"/>
  <c r="F23" i="1" s="1"/>
  <c r="I23" i="1"/>
  <c r="E23" i="1"/>
  <c r="D23" i="1"/>
  <c r="D44" i="1" s="1"/>
  <c r="H16" i="1"/>
  <c r="F16" i="1"/>
  <c r="D16" i="1"/>
  <c r="I27" i="1" l="1"/>
  <c r="I26" i="1" s="1"/>
  <c r="I44" i="1" s="1"/>
  <c r="H35" i="1"/>
  <c r="H27" i="1"/>
  <c r="G44" i="1"/>
  <c r="F299" i="1"/>
  <c r="G295" i="1"/>
  <c r="H34" i="1"/>
  <c r="G299" i="1"/>
  <c r="G391" i="1"/>
  <c r="F27" i="1"/>
  <c r="H92" i="1"/>
  <c r="H107" i="1" s="1"/>
  <c r="E44" i="1"/>
  <c r="H423" i="1"/>
  <c r="F184" i="1"/>
  <c r="G184" i="1" s="1"/>
  <c r="G178" i="1"/>
  <c r="G354" i="1"/>
  <c r="H391" i="1"/>
  <c r="H134" i="1"/>
  <c r="H133" i="1" s="1"/>
  <c r="H150" i="1" s="1"/>
  <c r="G249" i="1"/>
  <c r="F253" i="1"/>
  <c r="G253" i="1"/>
  <c r="F423" i="1"/>
  <c r="G423" i="1"/>
  <c r="G205" i="1"/>
  <c r="H93" i="1"/>
  <c r="G134" i="1"/>
  <c r="G133" i="1" s="1"/>
  <c r="G150" i="1" s="1"/>
  <c r="G413" i="1"/>
  <c r="F26" i="1" l="1"/>
  <c r="F44" i="1" s="1"/>
  <c r="H26" i="1"/>
  <c r="H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<sst xmlns="http://schemas.openxmlformats.org/spreadsheetml/2006/main" count="359" uniqueCount="151">
  <si>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</si>
  <si>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</si>
  <si>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</si>
  <si>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</si>
  <si>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</si>
  <si>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</si>
  <si>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</si>
  <si>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</si>
  <si>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</si>
  <si>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</si>
  <si>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</si>
  <si>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</si>
  <si>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</si>
  <si>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</si>
  <si>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</si>
  <si>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</si>
  <si>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</si>
  <si>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</si>
  <si>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</si>
  <si>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</si>
  <si>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</si>
  <si>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</si>
  <si>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</si>
  <si>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</si>
  <si>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</si>
  <si>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</si>
  <si>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</si>
  <si>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</si>
  <si>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</si>
  <si>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</si>
  <si>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</si>
  <si>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</si>
  <si>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</si>
  <si>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</si>
  <si>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</si>
  <si>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</si>
  <si>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</si>
  <si>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</si>
  <si>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</si>
  <si>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</si>
  <si>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</si>
  <si>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</si>
  <si>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</si>
  <si>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</si>
  <si>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</si>
  <si>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</si>
  <si>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</si>
  <si>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</si>
  <si>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</si>
  <si>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</si>
  <si>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</si>
  <si>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</si>
  <si>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</si>
  <si>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</si>
  <si>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</si>
  <si>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</si>
  <si>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</si>
  <si>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</si>
  <si>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</si>
  <si>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</si>
  <si>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</si>
  <si>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</si>
  <si>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</si>
  <si>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</si>
  <si>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</si>
  <si>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</si>
  <si>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</si>
  <si>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</si>
  <si>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</si>
  <si>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</si>
  <si>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</si>
  <si>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</si>
  <si>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</si>
  <si>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</si>
  <si>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</si>
  <si>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</si>
  <si>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</si>
  <si>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</si>
  <si>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</si>
  <si>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</si>
  <si>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</si>
  <si>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</si>
  <si>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</si>
  <si>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</si>
  <si>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</si>
  <si>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</si>
  <si>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</si>
  <si>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</si>
  <si>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</si>
  <si>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</si>
  <si>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</si>
  <si>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</si>
  <si>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</si>
  <si>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</si>
  <si>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</si>
  <si>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</si>
  <si>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</si>
  <si>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</si>
  <si>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</si>
  <si>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</si>
  <si>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</si>
  <si>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</si>
  <si>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</si>
  <si>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</si>
  <si>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</si>
  <si>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</si>
  <si>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</si>
  <si>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</si>
  <si>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</si>
  <si>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</si>
  <si>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</si>
  <si>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</si>
  <si>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</si>
  <si>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</si>
  <si>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</si>
  <si>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</si>
  <si>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</si>
  <si>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</si>
  <si>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</si>
  <si>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</si>
  <si>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</si>
  <si>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</si>
  <si>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</si>
  <si>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</si>
  <si>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</si>
  <si>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</si>
  <si>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</si>
  <si>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</si>
  <si>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</si>
  <si>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</si>
  <si>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</si>
  <si>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</si>
  <si>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</si>
  <si>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</si>
  <si>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</si>
  <si>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</si>
  <si>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</si>
  <si>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</si>
  <si>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</si>
  <si>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</si>
  <si>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</si>
  <si>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</si>
  <si>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</si>
  <si>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</si>
  <si>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499 tonn, men det legges til grunn at hele avsetningen tas</t>
  </si>
  <si>
    <t>3 Registrert rekreasjonsfiske utgjør 875 tonn, men det legges til grunn at hele avsetningen tas</t>
  </si>
  <si>
    <t>FANGST UKE 40</t>
  </si>
  <si>
    <t>FANGST T.O.M UKE 40</t>
  </si>
  <si>
    <t>RESTKVOTER UKE 40</t>
  </si>
  <si>
    <t>FANGST T.O.M UKE 40 2023</t>
  </si>
  <si>
    <r>
      <t>3</t>
    </r>
    <r>
      <rPr>
        <sz val="9"/>
        <color indexed="8"/>
        <rFont val="Calibri"/>
        <family val="2"/>
      </rPr>
      <t xml:space="preserve"> Det er fisket 5 290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</si>
</sst>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6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9" fillId="0" borderId="8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9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3" fontId="7" fillId="2" borderId="8" xfId="0" applyNumberFormat="1" applyFont="1" applyFill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wrapText="1"/>
    </xf>
    <xf numFmtId="0" fontId="29" fillId="0" borderId="0" xfId="0" applyFont="1"/>
    <xf numFmtId="0" fontId="30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2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50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left" wrapText="1"/>
    </xf>
    <xf numFmtId="0" fontId="4" fillId="0" borderId="33" xfId="0" applyFont="1" applyBorder="1" applyAlignment="1">
      <alignment horizontal="left" vertical="top" wrapText="1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2">
    <cellStyle name="20 % - uthevingsfarge 3" xfId="1" xr:uid="{C869A084-7E2C-4920-B461-C16A81A22F5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25" zoomScale="85" zoomScaleNormal="85" zoomScaleSheetLayoutView="100" zoomScalePageLayoutView="85" workbookViewId="0">
      <selection activeCell="G35" sqref="G3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296.20050000000003</v>
      </c>
      <c r="G23" s="28">
        <f>G25+G24</f>
        <v>43429.34332</v>
      </c>
      <c r="H23" s="11">
        <f t="shared" si="0"/>
        <v>17382.656679999996</v>
      </c>
      <c r="I23" s="11">
        <f t="shared" si="0"/>
        <v>62604.963709999996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295.692</f>
        <v>295.69200000000001</v>
      </c>
      <c r="G24" s="23">
        <f>42900.23653</f>
        <v>42900.236530000002</v>
      </c>
      <c r="H24" s="23">
        <f>E24-G24</f>
        <v>17141.763469999998</v>
      </c>
      <c r="I24" s="23">
        <f>62167.93036</f>
        <v>62167.930359999998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0.5085</f>
        <v>0.50849999999999995</v>
      </c>
      <c r="G25" s="23">
        <f>529.10679</f>
        <v>529.10679000000005</v>
      </c>
      <c r="H25" s="23">
        <f>E25-G25</f>
        <v>240.89320999999995</v>
      </c>
      <c r="I25" s="23">
        <f>437.03335</f>
        <v>437.03334999999998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370.50769000000003</v>
      </c>
      <c r="G26" s="11">
        <f>G34+G33+G27</f>
        <v>125669.77712000001</v>
      </c>
      <c r="H26" s="11">
        <f t="shared" si="1"/>
        <v>19204.222880000001</v>
      </c>
      <c r="I26" s="11">
        <f t="shared" si="1"/>
        <v>187367.38234000001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236.54345000000001</v>
      </c>
      <c r="G27" s="132">
        <f>G28+G29+G30+G31+G32</f>
        <v>102276.02809000001</v>
      </c>
      <c r="H27" s="132">
        <f t="shared" ref="H27:I27" si="2">H28+H29+H30+H31+H32</f>
        <v>10701.97191</v>
      </c>
      <c r="I27" s="132">
        <f t="shared" si="2"/>
        <v>146299.46189000001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37.67649</f>
        <v>37.676490000000001</v>
      </c>
      <c r="G28" s="127">
        <f>26560.51571 - G56</f>
        <v>25833.51571</v>
      </c>
      <c r="H28" s="127">
        <f t="shared" ref="H28:H40" si="3">E28-G28</f>
        <v>2796.4842900000003</v>
      </c>
      <c r="I28" s="127">
        <f>37325.19198 - H56</f>
        <v>37325.191980000003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88.23484</f>
        <v>88.234840000000005</v>
      </c>
      <c r="G29" s="127">
        <f>28932.82763 - G57</f>
        <v>27877.82763</v>
      </c>
      <c r="H29" s="127">
        <f t="shared" si="3"/>
        <v>1787.1723700000002</v>
      </c>
      <c r="I29" s="127">
        <f>39934.11108 - H57</f>
        <v>39934.111080000002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7.16152</f>
        <v>7.1615200000000003</v>
      </c>
      <c r="G30" s="127">
        <f>26825.52552 - G58</f>
        <v>25660.525519999999</v>
      </c>
      <c r="H30" s="127">
        <f t="shared" si="3"/>
        <v>1583.4744800000008</v>
      </c>
      <c r="I30" s="127">
        <f>37509.85679 - H58</f>
        <v>37509.856789999998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17.4706</f>
        <v>17.470600000000001</v>
      </c>
      <c r="G31" s="127">
        <f>19957.15923 - G59</f>
        <v>18967.159230000001</v>
      </c>
      <c r="H31" s="127">
        <f t="shared" si="3"/>
        <v>371.84076999999888</v>
      </c>
      <c r="I31" s="127">
        <f>25189.30204 - H59</f>
        <v>25189.302039999999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86</v>
      </c>
      <c r="G32" s="127">
        <f>G55</f>
        <v>3937</v>
      </c>
      <c r="H32" s="127">
        <f>E32-G32</f>
        <v>4163</v>
      </c>
      <c r="I32" s="127">
        <f>I55</f>
        <v>6341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85.85986</f>
        <v>85.859859999999998</v>
      </c>
      <c r="G33" s="132">
        <f>11246.04124</f>
        <v>11246.04124</v>
      </c>
      <c r="H33" s="132">
        <f t="shared" si="3"/>
        <v>5612.9587599999995</v>
      </c>
      <c r="I33" s="132">
        <f>16378.36623</f>
        <v>16378.36623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48.104379999999999</v>
      </c>
      <c r="G34" s="132">
        <f>G35+G36</f>
        <v>12147.70779</v>
      </c>
      <c r="H34" s="132">
        <f t="shared" si="3"/>
        <v>2889.2922099999996</v>
      </c>
      <c r="I34" s="132">
        <f>I35+I36</f>
        <v>24689.554220000002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29.10438</f>
        <v>29.104379999999999</v>
      </c>
      <c r="G35" s="132">
        <f>14977.70779 - G60 - G61</f>
        <v>11668.70779</v>
      </c>
      <c r="H35" s="127">
        <f t="shared" si="3"/>
        <v>2408.2922099999996</v>
      </c>
      <c r="I35" s="127">
        <f>24750.55422 - H60 - H61</f>
        <v>24099.554220000002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19</v>
      </c>
      <c r="G36" s="71">
        <f>G60</f>
        <v>479</v>
      </c>
      <c r="H36" s="71">
        <f t="shared" si="3"/>
        <v>481</v>
      </c>
      <c r="I36" s="71">
        <f>I60</f>
        <v>590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1.83225</f>
        <v>1.8322499999999999</v>
      </c>
      <c r="G38" s="98">
        <f>485.01148</f>
        <v>485.01148000000001</v>
      </c>
      <c r="H38" s="98">
        <f t="shared" si="3"/>
        <v>369.98851999999999</v>
      </c>
      <c r="I38" s="98">
        <f>505.04922</f>
        <v>505.04921999999999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7</v>
      </c>
      <c r="G39" s="98">
        <f>G61</f>
        <v>2830</v>
      </c>
      <c r="H39" s="98">
        <f t="shared" si="3"/>
        <v>170</v>
      </c>
      <c r="I39" s="98">
        <f>I61</f>
        <v>4396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0.30135</f>
        <v>0.30135000000000001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0.8748</f>
        <v>0.87480000000000002</v>
      </c>
      <c r="G41" s="98">
        <f>341.29712</f>
        <v>341.29712000000001</v>
      </c>
      <c r="H41" s="98">
        <f>E41-G41</f>
        <v>58.702879999999993</v>
      </c>
      <c r="I41" s="98">
        <f>355.69735</f>
        <v>355.69734999999997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0</f>
        <v>0</v>
      </c>
      <c r="G43" s="139">
        <f>114.54783</f>
        <v>114.54783</v>
      </c>
      <c r="H43" s="139">
        <f t="shared" ref="H43" si="4">E43-G43</f>
        <v>-114.54783</v>
      </c>
      <c r="I43" s="139">
        <f>107.11392</f>
        <v>107.11391999999999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676.71659000000011</v>
      </c>
      <c r="G44" s="76">
        <f t="shared" si="5"/>
        <v>180218.34207000001</v>
      </c>
      <c r="H44" s="76">
        <f t="shared" si="5"/>
        <v>38822.657929999994</v>
      </c>
      <c r="I44" s="76">
        <f t="shared" si="5"/>
        <v>263082.99813999992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86</v>
      </c>
      <c r="G55" s="11">
        <f>G59+G58+G57+G56</f>
        <v>3937</v>
      </c>
      <c r="H55" s="295">
        <f>E55-G55</f>
        <v>4163</v>
      </c>
      <c r="I55" s="11">
        <f>I59+I58+I57+I56</f>
        <v>6341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29</v>
      </c>
      <c r="G56" s="127">
        <v>727</v>
      </c>
      <c r="H56" s="296"/>
      <c r="I56" s="127">
        <v>824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32</v>
      </c>
      <c r="G57" s="127">
        <v>1055</v>
      </c>
      <c r="H57" s="296"/>
      <c r="I57" s="127">
        <v>1885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10</v>
      </c>
      <c r="G58" s="127">
        <v>1165</v>
      </c>
      <c r="H58" s="296"/>
      <c r="I58" s="127">
        <v>2474</v>
      </c>
      <c r="J58" s="120"/>
    </row>
    <row r="59" spans="1:10" ht="14.15" customHeight="1" thickBot="1" x14ac:dyDescent="0.4">
      <c r="A59" s="101"/>
      <c r="B59" s="24"/>
      <c r="C59" s="87" t="s">
        <v>27</v>
      </c>
      <c r="D59" s="297"/>
      <c r="E59" s="297"/>
      <c r="F59" s="192">
        <v>15</v>
      </c>
      <c r="G59" s="192">
        <v>990</v>
      </c>
      <c r="H59" s="297"/>
      <c r="I59" s="192">
        <v>1158</v>
      </c>
      <c r="J59" s="120"/>
    </row>
    <row r="60" spans="1:10" ht="14.15" customHeight="1" thickBot="1" x14ac:dyDescent="0.4">
      <c r="A60" s="101"/>
      <c r="B60" s="24"/>
      <c r="C60" s="88" t="s">
        <v>46</v>
      </c>
      <c r="D60" s="95">
        <v>960</v>
      </c>
      <c r="E60" s="95">
        <v>960</v>
      </c>
      <c r="F60" s="95">
        <v>19</v>
      </c>
      <c r="G60" s="95">
        <v>479</v>
      </c>
      <c r="H60" s="95">
        <f>E60-G60</f>
        <v>481</v>
      </c>
      <c r="I60" s="95">
        <v>590</v>
      </c>
      <c r="J60" s="244"/>
    </row>
    <row r="61" spans="1:10" ht="14.15" customHeight="1" thickBot="1" x14ac:dyDescent="0.4">
      <c r="A61" s="101"/>
      <c r="B61" s="24"/>
      <c r="C61" s="142" t="s">
        <v>47</v>
      </c>
      <c r="D61" s="139">
        <v>3000</v>
      </c>
      <c r="E61" s="139">
        <v>3000</v>
      </c>
      <c r="F61" s="139">
        <v>7</v>
      </c>
      <c r="G61" s="139">
        <v>2830</v>
      </c>
      <c r="H61" s="139">
        <f>E61-G61</f>
        <v>170</v>
      </c>
      <c r="I61" s="139">
        <v>4396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15.496600000000001</v>
      </c>
      <c r="G92" s="11">
        <f t="shared" si="6"/>
        <v>23617.947819999998</v>
      </c>
      <c r="H92" s="11">
        <f t="shared" si="6"/>
        <v>2343.052180000001</v>
      </c>
      <c r="I92" s="11">
        <f t="shared" si="6"/>
        <v>39887.706730000005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13.5408</f>
        <v>13.540800000000001</v>
      </c>
      <c r="G93" s="23">
        <f>22823.97527</f>
        <v>22823.975269999999</v>
      </c>
      <c r="H93" s="23">
        <f>E93-G93</f>
        <v>2312.024730000001</v>
      </c>
      <c r="I93" s="23">
        <f>39346.96534</f>
        <v>39346.965340000002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1.9558</f>
        <v>1.9558</v>
      </c>
      <c r="G94" s="50">
        <f>793.97255</f>
        <v>793.97254999999996</v>
      </c>
      <c r="H94" s="50">
        <f>E94-G94</f>
        <v>31.027450000000044</v>
      </c>
      <c r="I94" s="50">
        <f>540.74139</f>
        <v>540.74139000000002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203.30531999999999</v>
      </c>
      <c r="G95" s="11">
        <f t="shared" si="7"/>
        <v>40099.940919999994</v>
      </c>
      <c r="H95" s="11">
        <f t="shared" si="7"/>
        <v>8894.0590800000009</v>
      </c>
      <c r="I95" s="11">
        <f t="shared" si="7"/>
        <v>31010.176920000002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146.47942999999998</v>
      </c>
      <c r="G96" s="132">
        <f t="shared" si="8"/>
        <v>32339.22435</v>
      </c>
      <c r="H96" s="132">
        <f t="shared" si="8"/>
        <v>5154.7756500000014</v>
      </c>
      <c r="I96" s="132">
        <f t="shared" si="8"/>
        <v>21994.673880000002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90.1328</f>
        <v>90.132800000000003</v>
      </c>
      <c r="G97" s="127">
        <f>5201.311</f>
        <v>5201.3109999999997</v>
      </c>
      <c r="H97" s="127">
        <f t="shared" ref="H97:H104" si="9">E97-G97</f>
        <v>4813.6890000000003</v>
      </c>
      <c r="I97" s="127">
        <f>3518.023</f>
        <v>3518.0230000000001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10.10297</f>
        <v>10.102969999999999</v>
      </c>
      <c r="G98" s="127">
        <f>10474.03768</f>
        <v>10474.037679999999</v>
      </c>
      <c r="H98" s="127">
        <f t="shared" si="9"/>
        <v>139.96232000000055</v>
      </c>
      <c r="I98" s="127">
        <f>6728.41664</f>
        <v>6728.4166400000004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14.09794</f>
        <v>14.097939999999999</v>
      </c>
      <c r="G99" s="127">
        <f>9812.82122</f>
        <v>9812.8212199999998</v>
      </c>
      <c r="H99" s="127">
        <f t="shared" si="9"/>
        <v>299.17878000000019</v>
      </c>
      <c r="I99" s="127">
        <f>6565.47612</f>
        <v>6565.4761200000003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32.14572</f>
        <v>32.145719999999997</v>
      </c>
      <c r="G100" s="127">
        <f>6851.05445</f>
        <v>6851.0544499999996</v>
      </c>
      <c r="H100" s="127">
        <f t="shared" si="9"/>
        <v>-98.054449999999633</v>
      </c>
      <c r="I100" s="127">
        <f>5182.75812</f>
        <v>5182.7581200000004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8.25752</f>
        <v>8.2575199999999995</v>
      </c>
      <c r="G101" s="132">
        <f>5403.77865</f>
        <v>5403.7786500000002</v>
      </c>
      <c r="H101" s="132">
        <f t="shared" si="9"/>
        <v>2192.2213499999998</v>
      </c>
      <c r="I101" s="132">
        <f>7347.72326</f>
        <v>7347.7232599999998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48.56837</f>
        <v>48.568370000000002</v>
      </c>
      <c r="G102" s="75">
        <f>2356.93792</f>
        <v>2356.9379199999998</v>
      </c>
      <c r="H102" s="75">
        <f t="shared" si="9"/>
        <v>1547.0620800000002</v>
      </c>
      <c r="I102" s="75">
        <f>1667.77978</f>
        <v>1667.7797800000001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0.228</f>
        <v>0.22800000000000001</v>
      </c>
      <c r="G103" s="98">
        <f>36.32976</f>
        <v>36.32976</v>
      </c>
      <c r="H103" s="98">
        <f t="shared" si="9"/>
        <v>282.67023999999998</v>
      </c>
      <c r="I103" s="98">
        <f>11.36609</f>
        <v>11.36609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0.00508</f>
        <v>5.0800000000000003E-3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1.22698</f>
        <v>1.22698</v>
      </c>
      <c r="G105" s="98">
        <f>38.69719</f>
        <v>38.697189999999999</v>
      </c>
      <c r="H105" s="139">
        <f>E105-G105</f>
        <v>11.302810000000001</v>
      </c>
      <c r="I105" s="98">
        <f>8.9026</f>
        <v>8.9025999999999996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</f>
        <v>0</v>
      </c>
      <c r="G106" s="139">
        <f>30.28938</f>
        <v>30.289380000000001</v>
      </c>
      <c r="H106" s="139">
        <f t="shared" ref="H106" si="10">E106-G106</f>
        <v>-30.289380000000001</v>
      </c>
      <c r="I106" s="139">
        <f>96.61676</f>
        <v>96.616759999999999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220.26197999999999</v>
      </c>
      <c r="G107" s="76">
        <f t="shared" si="12"/>
        <v>64123.205069999996</v>
      </c>
      <c r="H107" s="76">
        <f t="shared" si="12"/>
        <v>11500.79493</v>
      </c>
      <c r="I107" s="76">
        <f t="shared" si="12"/>
        <v>71314.769100000005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886.24665000000005</v>
      </c>
      <c r="G128" s="11">
        <f t="shared" si="13"/>
        <v>48803.010909999997</v>
      </c>
      <c r="H128" s="11">
        <f t="shared" si="13"/>
        <v>23503.989089999999</v>
      </c>
      <c r="I128" s="11">
        <f t="shared" si="13"/>
        <v>54960.287089999998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730.01925</f>
        <v>730.01925000000006</v>
      </c>
      <c r="G129" s="23">
        <f>43135.70891</f>
        <v>43135.708910000001</v>
      </c>
      <c r="H129" s="23">
        <f>E129-G129</f>
        <v>14426.291089999999</v>
      </c>
      <c r="I129" s="23">
        <f>48396.63164</f>
        <v>48396.63164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156.2274</f>
        <v>156.22739999999999</v>
      </c>
      <c r="G130" s="23">
        <f>5601.57485</f>
        <v>5601.57485</v>
      </c>
      <c r="H130" s="23">
        <f>E130-G130</f>
        <v>8643.4251499999991</v>
      </c>
      <c r="I130" s="23">
        <f>6445.2094</f>
        <v>6445.2093999999997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65.72715</f>
        <v>65.727149999999995</v>
      </c>
      <c r="H131" s="55">
        <f>E131-G131</f>
        <v>434.27285000000001</v>
      </c>
      <c r="I131" s="23">
        <f>118.44605</f>
        <v>118.44605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161.313</f>
        <v>161.31299999999999</v>
      </c>
      <c r="G132" s="95">
        <f>16135.0338+5289.92515</f>
        <v>21424.95895</v>
      </c>
      <c r="H132" s="95">
        <f>E132-G132</f>
        <v>31071.04105</v>
      </c>
      <c r="I132" s="95">
        <f>38763.86118</f>
        <v>38763.86118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825.51396000000011</v>
      </c>
      <c r="G133" s="94">
        <f t="shared" ref="G133" si="14">G134+G139+G142</f>
        <v>58504.429010000007</v>
      </c>
      <c r="H133" s="94">
        <f>H134+H139+H142</f>
        <v>21660.57099</v>
      </c>
      <c r="I133" s="94">
        <f>I134+I139+I142</f>
        <v>67239.720369999995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688.49592000000007</v>
      </c>
      <c r="G134" s="125">
        <f>G135+G136+G138+G137</f>
        <v>43788.858860000008</v>
      </c>
      <c r="H134" s="125">
        <f>H135+H136+H137+H138</f>
        <v>15290.14114</v>
      </c>
      <c r="I134" s="125">
        <f>I135+I136+I137+I138</f>
        <v>53365.814890000001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195.06098</f>
        <v>195.06098</v>
      </c>
      <c r="G135" s="127">
        <v>9775.6417700000002</v>
      </c>
      <c r="H135" s="127">
        <f>E135-G135</f>
        <v>7998.3582299999998</v>
      </c>
      <c r="I135" s="127">
        <f>8632.32646</f>
        <v>8632.3264600000002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109.72044</f>
        <v>109.72044</v>
      </c>
      <c r="G136" s="127">
        <v>12523.949855000001</v>
      </c>
      <c r="H136" s="127">
        <f>E136-G136</f>
        <v>2415.0501449999992</v>
      </c>
      <c r="I136" s="127">
        <f>13955.43276</f>
        <v>13955.43276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93.67615</f>
        <v>93.676150000000007</v>
      </c>
      <c r="G137" s="127">
        <v>10776.902115000001</v>
      </c>
      <c r="H137" s="127">
        <f>E137-G137</f>
        <v>2274.0978849999992</v>
      </c>
      <c r="I137" s="127">
        <f>16803.61322</f>
        <v>16803.613219999999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290.03835</f>
        <v>290.03834999999998</v>
      </c>
      <c r="G138" s="127">
        <v>10712.365119999999</v>
      </c>
      <c r="H138" s="127">
        <f>E138-G138</f>
        <v>2602.6348800000014</v>
      </c>
      <c r="I138" s="127">
        <f>13974.44245</f>
        <v>13974.44245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6.8952</v>
      </c>
      <c r="G139" s="132">
        <f>SUM(G140:G141)</f>
        <v>8915.0016400000004</v>
      </c>
      <c r="H139" s="132">
        <f>H140+H141</f>
        <v>14.998359999999252</v>
      </c>
      <c r="I139" s="132">
        <f>SUM(I140:I141)</f>
        <v>7084.82341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0.729</f>
        <v>0.72899999999999998</v>
      </c>
      <c r="G140" s="127">
        <f>8475.06283</f>
        <v>8475.0628300000008</v>
      </c>
      <c r="H140" s="127">
        <f t="shared" ref="H140:H148" si="15">E140-G140</f>
        <v>-45.062830000000758</v>
      </c>
      <c r="I140" s="127">
        <f>6825.7679</f>
        <v>6825.7678999999998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6.1662</f>
        <v>6.1661999999999999</v>
      </c>
      <c r="G141" s="127">
        <f>439.93881</f>
        <v>439.93880999999999</v>
      </c>
      <c r="H141" s="127">
        <f t="shared" si="15"/>
        <v>60.061190000000011</v>
      </c>
      <c r="I141" s="127">
        <f>259.05551</f>
        <v>259.05551000000003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130.12284</f>
        <v>130.12284</v>
      </c>
      <c r="G142" s="75">
        <f>5800.56851</f>
        <v>5800.5685100000001</v>
      </c>
      <c r="H142" s="75">
        <f t="shared" si="15"/>
        <v>6355.4314899999999</v>
      </c>
      <c r="I142" s="75">
        <f>6789.08207</f>
        <v>6789.0820700000004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0.44455</f>
        <v>0.44455</v>
      </c>
      <c r="G143" s="139">
        <f>16.1571</f>
        <v>16.1571</v>
      </c>
      <c r="H143" s="139">
        <f t="shared" si="15"/>
        <v>129.84289999999999</v>
      </c>
      <c r="I143" s="139">
        <f>31.69565</f>
        <v>31.695650000000001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3.70171</f>
        <v>3.7017099999999998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2.95965</f>
        <v>2.9596499999999999</v>
      </c>
      <c r="G147" s="98">
        <f>52.77681</f>
        <v>52.776809999999998</v>
      </c>
      <c r="H147" s="139">
        <f t="shared" si="15"/>
        <v>223.22318999999999</v>
      </c>
      <c r="I147" s="98">
        <f>27.67143</f>
        <v>27.671430000000001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</f>
        <v>0</v>
      </c>
      <c r="G148" s="139">
        <f>120.12594</f>
        <v>120.12594</v>
      </c>
      <c r="H148" s="139">
        <f t="shared" si="15"/>
        <v>-120.12594</v>
      </c>
      <c r="I148" s="139">
        <f>111.04893</f>
        <v>111.04893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1880.1795200000004</v>
      </c>
      <c r="G150" s="76">
        <f>G128+G132+G133+G143+G144+G145+G146+G147+G148</f>
        <v>131177.49471999999</v>
      </c>
      <c r="H150" s="76">
        <f>H128+H132+H133+H143+H144+H145+H146+H147+H148</f>
        <v>76462.505280000012</v>
      </c>
      <c r="I150" s="76">
        <f>I128+I132+I133+I143+I144+I145+I146+I147+I148</f>
        <v>163396.86564999999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41.13393</f>
        <v>41.133929999999999</v>
      </c>
      <c r="F175" s="276">
        <f>1063.84959</f>
        <v>1063.84959</v>
      </c>
      <c r="G175" s="43">
        <f>D175-F175-F176</f>
        <v>1658.6918100000003</v>
      </c>
      <c r="H175" s="276">
        <f>1531.41574</f>
        <v>1531.4157399999999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59.71546</f>
        <v>59.71546</v>
      </c>
      <c r="F176" s="152">
        <f>1500.4586</f>
        <v>1500.4585999999999</v>
      </c>
      <c r="G176" s="217"/>
      <c r="H176" s="152">
        <f>1737.83386</f>
        <v>1737.83386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113.20957</f>
        <v>113.20957</v>
      </c>
      <c r="G177" s="172">
        <f>D177-F177</f>
        <v>86.790430000000001</v>
      </c>
      <c r="H177" s="172">
        <f>74.78746</f>
        <v>74.787459999999996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9.77529</v>
      </c>
      <c r="F178" s="181">
        <f>F179+F180+F181</f>
        <v>5950.2751200000002</v>
      </c>
      <c r="G178" s="181">
        <f>D178-F178</f>
        <v>383.72487999999976</v>
      </c>
      <c r="H178" s="181">
        <f>H179+H180+H181</f>
        <v>8060.7777400000004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0.35842</f>
        <v>0.35842000000000002</v>
      </c>
      <c r="F179" s="127">
        <f>3088.27008</f>
        <v>3088.2700799999998</v>
      </c>
      <c r="G179" s="127"/>
      <c r="H179" s="127">
        <f>4167.15063</f>
        <v>4167.1506300000001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6.45693</f>
        <v>6.4569299999999998</v>
      </c>
      <c r="F180" s="127">
        <f>1811.71409</f>
        <v>1811.7140899999999</v>
      </c>
      <c r="G180" s="127"/>
      <c r="H180" s="127">
        <f>2477.23149</f>
        <v>2477.2314900000001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2.95994</f>
        <v>2.95994</v>
      </c>
      <c r="F181" s="192">
        <f>1050.29095</f>
        <v>1050.2909500000001</v>
      </c>
      <c r="G181" s="192"/>
      <c r="H181" s="192">
        <f>1416.39562</f>
        <v>1416.39562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110.62468</v>
      </c>
      <c r="F184" s="194">
        <f>F175+F176+F177+F178+F182+F183</f>
        <v>8627.7928800000009</v>
      </c>
      <c r="G184" s="194">
        <f>D184-F184</f>
        <v>2195.2071199999991</v>
      </c>
      <c r="H184" s="194">
        <f>H175+H176+H177+H178+H182+H183</f>
        <v>11404.8148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397.67212</f>
        <v>397.67212000000001</v>
      </c>
      <c r="F204" s="124">
        <f>40830.52367</f>
        <v>40830.523670000002</v>
      </c>
      <c r="G204" s="124">
        <f>D204-F204</f>
        <v>5451.4763299999977</v>
      </c>
      <c r="H204" s="124">
        <f>40510.57871</f>
        <v>40510.578710000002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0.1345</f>
        <v>0.13450000000000001</v>
      </c>
      <c r="F205" s="124">
        <f>39.87532</f>
        <v>39.875320000000002</v>
      </c>
      <c r="G205" s="124">
        <f>D205-F205</f>
        <v>60.124679999999998</v>
      </c>
      <c r="H205" s="124">
        <f>65.19523</f>
        <v>65.195229999999995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397.80662000000001</v>
      </c>
      <c r="F207" s="190">
        <f>SUM(F204:F206)</f>
        <v>40870.398990000002</v>
      </c>
      <c r="G207" s="190">
        <f>D207-F207</f>
        <v>5547.6010099999985</v>
      </c>
      <c r="H207" s="190">
        <f>SUM(H204:H206)</f>
        <v>40575.773939999999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33.2179</v>
      </c>
      <c r="F249" s="75">
        <f>F250+F251</f>
        <v>4192.3658699999996</v>
      </c>
      <c r="G249" s="75">
        <f>D249-F249</f>
        <v>-205.36586999999963</v>
      </c>
      <c r="H249" s="75">
        <f>H250+H251</f>
        <v>4118.6824900000001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26.3286</f>
        <v>26.328600000000002</v>
      </c>
      <c r="F250" s="75">
        <f>3632.09031</f>
        <v>3632.09031</v>
      </c>
      <c r="G250" s="75"/>
      <c r="H250" s="75">
        <f>3518.13714</f>
        <v>3518.1371399999998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6.8893</f>
        <v>6.8893000000000004</v>
      </c>
      <c r="F251" s="124">
        <f>560.27556</f>
        <v>560.27556000000004</v>
      </c>
      <c r="G251" s="168"/>
      <c r="H251" s="124">
        <f>600.54535</f>
        <v>600.54534999999998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40.74808</f>
        <v>40.748080000000002</v>
      </c>
      <c r="F252" s="75">
        <f>5257.13599</f>
        <v>5257.1359899999998</v>
      </c>
      <c r="G252" s="75">
        <f>D252-F252</f>
        <v>-644.13598999999977</v>
      </c>
      <c r="H252" s="75">
        <f>5113.64961</f>
        <v>5113.6496100000004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73.965980000000002</v>
      </c>
      <c r="F253" s="190">
        <f>SUM(F249,F252)</f>
        <v>9449.5018600000003</v>
      </c>
      <c r="G253" s="190">
        <f>D253-F253</f>
        <v>-849.50186000000031</v>
      </c>
      <c r="H253" s="190">
        <f>SUM(H249,H252)</f>
        <v>9232.3320999999996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28.509999999999998</v>
      </c>
      <c r="F295" s="75">
        <f>F296+F297</f>
        <v>5295.9</v>
      </c>
      <c r="G295" s="75">
        <f>D295-F295</f>
        <v>-205.89999999999964</v>
      </c>
      <c r="H295" s="75">
        <f>H296+H297</f>
        <v>5941.8215700000001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26.3772</f>
        <v>26.377199999999998</v>
      </c>
      <c r="F296" s="75">
        <f>4829.74321</f>
        <v>4829.7432099999996</v>
      </c>
      <c r="G296" s="75"/>
      <c r="H296" s="75">
        <f>5445.55621</f>
        <v>5445.5562099999997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2.1328</f>
        <v>2.1328</v>
      </c>
      <c r="F297" s="124">
        <f>466.15679</f>
        <v>466.15679</v>
      </c>
      <c r="G297" s="168"/>
      <c r="H297" s="124">
        <f>496.26536</f>
        <v>496.26535999999999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53.652</f>
        <v>53.652000000000001</v>
      </c>
      <c r="F298" s="75">
        <f>2644.18941</f>
        <v>2644.18941</v>
      </c>
      <c r="G298" s="75">
        <f>D298-F298</f>
        <v>336.81059000000005</v>
      </c>
      <c r="H298" s="75">
        <f>3270.87852</f>
        <v>3270.8785200000002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82.162000000000006</v>
      </c>
      <c r="F299" s="190">
        <f>SUM(F295,F298)</f>
        <v>7940.0894099999996</v>
      </c>
      <c r="G299" s="190">
        <f>D299-F299</f>
        <v>130.91059000000041</v>
      </c>
      <c r="H299" s="190">
        <f>SUM(H295,H298)</f>
        <v>9212.7000900000003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4.86944</f>
        <v>4.86944</v>
      </c>
      <c r="F350" s="124">
        <f>576.82232</f>
        <v>576.82231999999999</v>
      </c>
      <c r="G350" s="124">
        <f>D350-F350</f>
        <v>223.17768000000001</v>
      </c>
      <c r="H350" s="124">
        <f>534.03153</f>
        <v>534.03152999999998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8.51948</f>
        <v>8.5194799999999997</v>
      </c>
      <c r="F351" s="124">
        <f>2189.49532</f>
        <v>2189.49532</v>
      </c>
      <c r="G351" s="124">
        <f>D351-F351</f>
        <v>851.50468000000001</v>
      </c>
      <c r="H351" s="124">
        <f>2521.55611</f>
        <v>2521.55611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0.248</f>
        <v>0.248</v>
      </c>
      <c r="G353" s="124">
        <f>D353-F353</f>
        <v>-0.248</v>
      </c>
      <c r="H353" s="168">
        <f>1.70854</f>
        <v>1.7085399999999999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13.388919999999999</v>
      </c>
      <c r="F354" s="190">
        <f>SUM(F350:F353)</f>
        <v>2770.1752600000004</v>
      </c>
      <c r="G354" s="190">
        <f>D354-F354</f>
        <v>1080.8247399999996</v>
      </c>
      <c r="H354" s="190">
        <f>H350+H351+H352+H353</f>
        <v>3060.0349199999996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170.08948000000001</v>
      </c>
      <c r="G380" s="253">
        <f t="shared" si="17"/>
        <v>17907.55502</v>
      </c>
      <c r="H380" s="253">
        <f>H384+H383+H382+H381</f>
        <v>5061.4449800000002</v>
      </c>
      <c r="I380" s="253">
        <f t="shared" si="17"/>
        <v>15971.07035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11662.01717</f>
        <v>11662.017169999999</v>
      </c>
      <c r="H381" s="257">
        <f t="shared" ref="H381:H385" si="18">E381-G381</f>
        <v>1527.9828300000008</v>
      </c>
      <c r="I381" s="257">
        <f>9908.37411</f>
        <v>9908.3741100000007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101.385</f>
        <v>101.38500000000001</v>
      </c>
      <c r="G382" s="257">
        <f>1969.57002</f>
        <v>1969.5700200000001</v>
      </c>
      <c r="H382" s="257">
        <f t="shared" si="18"/>
        <v>1463.4299799999999</v>
      </c>
      <c r="I382" s="257">
        <f>1294.37055</f>
        <v>1294.3705500000001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21.27408</f>
        <v>21.274080000000001</v>
      </c>
      <c r="G383" s="257">
        <f>1841.65737</f>
        <v>1841.6573699999999</v>
      </c>
      <c r="H383" s="257">
        <f t="shared" si="18"/>
        <v>-358.6573699999999</v>
      </c>
      <c r="I383" s="257">
        <f>1802.75739</f>
        <v>1802.75739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47.4304</f>
        <v>47.430399999999999</v>
      </c>
      <c r="G384" s="257">
        <f>2434.31046</f>
        <v>2434.3104600000001</v>
      </c>
      <c r="H384" s="257">
        <f t="shared" si="18"/>
        <v>2428.6895399999999</v>
      </c>
      <c r="I384" s="257">
        <f>2965.5683</f>
        <v>2965.5682999999999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2.786</f>
        <v>2.786</v>
      </c>
      <c r="G385" s="268">
        <f>2161.16778</f>
        <v>2161.1677800000002</v>
      </c>
      <c r="H385" s="268">
        <f t="shared" si="18"/>
        <v>3338.8322199999998</v>
      </c>
      <c r="I385" s="268">
        <f>5110.62328</f>
        <v>5110.6232799999998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72.840410000000006</v>
      </c>
      <c r="G386" s="269">
        <f>G388+G387</f>
        <v>3447.6529799999998</v>
      </c>
      <c r="H386" s="269">
        <f>E386-G386</f>
        <v>4552.3470200000002</v>
      </c>
      <c r="I386" s="269">
        <f>I388+I387</f>
        <v>3846.2038900000002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5.42484</f>
        <v>5.4248399999999997</v>
      </c>
      <c r="G387" s="257">
        <f>1037.08314</f>
        <v>1037.08314</v>
      </c>
      <c r="H387" s="257"/>
      <c r="I387" s="257">
        <f>858.54383</f>
        <v>858.54382999999996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67.41557</f>
        <v>67.415570000000002</v>
      </c>
      <c r="G388" s="278">
        <f>2410.56984</f>
        <v>2410.5698400000001</v>
      </c>
      <c r="H388" s="278"/>
      <c r="I388" s="278">
        <f>2987.66006</f>
        <v>2987.6600600000002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0.032</f>
        <v>3.2000000000000001E-2</v>
      </c>
      <c r="G389" s="268">
        <f>0.1484</f>
        <v>0.1484</v>
      </c>
      <c r="H389" s="268">
        <f>E389-G389</f>
        <v>12.851599999999999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0.069</f>
        <v>6.9000000000000006E-2</v>
      </c>
      <c r="G390" s="268">
        <f>105.13667</f>
        <v>105.13667</v>
      </c>
      <c r="H390" s="268">
        <f>E390-G390</f>
        <v>-105.13667</v>
      </c>
      <c r="I390" s="268">
        <f>116.76062</f>
        <v>116.76062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245.81689</v>
      </c>
      <c r="G391" s="287">
        <f t="shared" si="19"/>
        <v>23621.660849999997</v>
      </c>
      <c r="H391" s="287">
        <f>H380+H385+H386+H389+H390</f>
        <v>12860.339150000002</v>
      </c>
      <c r="I391" s="287">
        <f t="shared" si="19"/>
        <v>25045.406640000005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28.471900000000002</v>
      </c>
      <c r="F413" s="26">
        <f>SUM(F414:F415)</f>
        <v>832.27518000000009</v>
      </c>
      <c r="G413" s="85">
        <f>D413-F413</f>
        <v>61.724819999999909</v>
      </c>
      <c r="H413" s="26">
        <f>SUM(H414:H415)</f>
        <v>811.03589999999997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20.7175</f>
        <v>20.717500000000001</v>
      </c>
      <c r="F414" s="205">
        <f>633.51858</f>
        <v>633.51858000000004</v>
      </c>
      <c r="G414" s="206"/>
      <c r="H414" s="205">
        <f>622.9081</f>
        <v>622.90809999999999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7.7544</f>
        <v>7.7544000000000004</v>
      </c>
      <c r="F415" s="208">
        <f>198.7566</f>
        <v>198.75659999999999</v>
      </c>
      <c r="G415" s="209"/>
      <c r="H415" s="208">
        <f>188.1278</f>
        <v>188.12780000000001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28.471900000000002</v>
      </c>
      <c r="F423" s="40">
        <f>F413+F416+F419+F422</f>
        <v>832.27518000000009</v>
      </c>
      <c r="G423" s="41">
        <f>D423-F423</f>
        <v>1848.7248199999999</v>
      </c>
      <c r="H423" s="40">
        <f>H413+H416+H419+H422</f>
        <v>811.03589999999997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40&amp;R07.10.2024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2024-10-08T08:13:28Z</dcterms:modified>
</cp:coreProperties>
</file>