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6\"/>
    </mc:Choice>
  </mc:AlternateContent>
  <xr:revisionPtr revIDLastSave="0" documentId="13_ncr:1_{26F896C1-9934-4320-A75C-78EAA501AB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5" i="1" l="1"/>
  <c r="G124" i="1"/>
  <c r="G123" i="1"/>
  <c r="G119" i="1"/>
  <c r="H345" i="1" l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15" i="1"/>
  <c r="D304" i="1"/>
  <c r="H303" i="1"/>
  <c r="F303" i="1"/>
  <c r="G303" i="1" s="1"/>
  <c r="E303" i="1"/>
  <c r="H302" i="1"/>
  <c r="F302" i="1"/>
  <c r="E302" i="1"/>
  <c r="E300" i="1" s="1"/>
  <c r="H301" i="1"/>
  <c r="H300" i="1" s="1"/>
  <c r="F301" i="1"/>
  <c r="F300" i="1" s="1"/>
  <c r="G300" i="1" s="1"/>
  <c r="E301" i="1"/>
  <c r="H299" i="1"/>
  <c r="F299" i="1"/>
  <c r="E299" i="1"/>
  <c r="H298" i="1"/>
  <c r="F298" i="1"/>
  <c r="F297" i="1" s="1"/>
  <c r="G297" i="1" s="1"/>
  <c r="E298" i="1"/>
  <c r="E297" i="1" s="1"/>
  <c r="H297" i="1"/>
  <c r="H296" i="1"/>
  <c r="F296" i="1"/>
  <c r="E296" i="1"/>
  <c r="H295" i="1"/>
  <c r="F295" i="1"/>
  <c r="E295" i="1"/>
  <c r="H294" i="1"/>
  <c r="H304" i="1" s="1"/>
  <c r="F294" i="1"/>
  <c r="F304" i="1" s="1"/>
  <c r="E294" i="1"/>
  <c r="E304" i="1" s="1"/>
  <c r="E273" i="1"/>
  <c r="I272" i="1"/>
  <c r="G272" i="1"/>
  <c r="H272" i="1" s="1"/>
  <c r="F272" i="1"/>
  <c r="I271" i="1"/>
  <c r="G271" i="1"/>
  <c r="H271" i="1" s="1"/>
  <c r="F271" i="1"/>
  <c r="I270" i="1"/>
  <c r="I268" i="1" s="1"/>
  <c r="G270" i="1"/>
  <c r="G268" i="1" s="1"/>
  <c r="H268" i="1" s="1"/>
  <c r="F270" i="1"/>
  <c r="I269" i="1"/>
  <c r="G269" i="1"/>
  <c r="F269" i="1"/>
  <c r="F268" i="1"/>
  <c r="I267" i="1"/>
  <c r="G267" i="1"/>
  <c r="H267" i="1" s="1"/>
  <c r="F267" i="1"/>
  <c r="I266" i="1"/>
  <c r="I262" i="1" s="1"/>
  <c r="H266" i="1"/>
  <c r="G266" i="1"/>
  <c r="G262" i="1" s="1"/>
  <c r="F266" i="1"/>
  <c r="F262" i="1" s="1"/>
  <c r="F273" i="1" s="1"/>
  <c r="I265" i="1"/>
  <c r="G265" i="1"/>
  <c r="H265" i="1" s="1"/>
  <c r="F265" i="1"/>
  <c r="I264" i="1"/>
  <c r="G264" i="1"/>
  <c r="H264" i="1" s="1"/>
  <c r="F264" i="1"/>
  <c r="I263" i="1"/>
  <c r="G263" i="1"/>
  <c r="H263" i="1" s="1"/>
  <c r="F263" i="1"/>
  <c r="E262" i="1"/>
  <c r="D262" i="1"/>
  <c r="D273" i="1" s="1"/>
  <c r="H254" i="1"/>
  <c r="F254" i="1"/>
  <c r="E241" i="1"/>
  <c r="D241" i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H237" i="1"/>
  <c r="H241" i="1" s="1"/>
  <c r="F237" i="1"/>
  <c r="G237" i="1" s="1"/>
  <c r="E237" i="1"/>
  <c r="D219" i="1"/>
  <c r="H218" i="1"/>
  <c r="F218" i="1"/>
  <c r="G218" i="1" s="1"/>
  <c r="E218" i="1"/>
  <c r="H217" i="1"/>
  <c r="F217" i="1"/>
  <c r="F215" i="1" s="1"/>
  <c r="E217" i="1"/>
  <c r="E215" i="1" s="1"/>
  <c r="E219" i="1" s="1"/>
  <c r="H216" i="1"/>
  <c r="H215" i="1" s="1"/>
  <c r="H219" i="1" s="1"/>
  <c r="F216" i="1"/>
  <c r="E216" i="1"/>
  <c r="D206" i="1"/>
  <c r="H205" i="1"/>
  <c r="F205" i="1"/>
  <c r="G205" i="1" s="1"/>
  <c r="E205" i="1"/>
  <c r="H204" i="1"/>
  <c r="F204" i="1"/>
  <c r="E204" i="1"/>
  <c r="H203" i="1"/>
  <c r="F203" i="1"/>
  <c r="E203" i="1"/>
  <c r="H202" i="1"/>
  <c r="H206" i="1" s="1"/>
  <c r="F202" i="1"/>
  <c r="G202" i="1" s="1"/>
  <c r="E202" i="1"/>
  <c r="E206" i="1" s="1"/>
  <c r="E192" i="1"/>
  <c r="D192" i="1"/>
  <c r="I191" i="1"/>
  <c r="G191" i="1"/>
  <c r="H191" i="1" s="1"/>
  <c r="F191" i="1"/>
  <c r="I190" i="1"/>
  <c r="G190" i="1"/>
  <c r="H190" i="1" s="1"/>
  <c r="F190" i="1"/>
  <c r="I189" i="1"/>
  <c r="I192" i="1" s="1"/>
  <c r="G189" i="1"/>
  <c r="H189" i="1" s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F164" i="1"/>
  <c r="E164" i="1"/>
  <c r="H163" i="1"/>
  <c r="F163" i="1"/>
  <c r="G163" i="1" s="1"/>
  <c r="E163" i="1"/>
  <c r="H162" i="1"/>
  <c r="F162" i="1"/>
  <c r="G162" i="1" s="1"/>
  <c r="E162" i="1"/>
  <c r="H161" i="1"/>
  <c r="F161" i="1"/>
  <c r="E161" i="1"/>
  <c r="H160" i="1"/>
  <c r="H169" i="1" s="1"/>
  <c r="F160" i="1"/>
  <c r="G160" i="1" s="1"/>
  <c r="E160" i="1"/>
  <c r="E169" i="1" s="1"/>
  <c r="I135" i="1"/>
  <c r="G135" i="1"/>
  <c r="H135" i="1" s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I126" i="1" s="1"/>
  <c r="G128" i="1"/>
  <c r="H128" i="1" s="1"/>
  <c r="F128" i="1"/>
  <c r="I127" i="1"/>
  <c r="G127" i="1"/>
  <c r="H127" i="1" s="1"/>
  <c r="H126" i="1" s="1"/>
  <c r="F127" i="1"/>
  <c r="G126" i="1"/>
  <c r="F126" i="1"/>
  <c r="E126" i="1"/>
  <c r="D126" i="1"/>
  <c r="I125" i="1"/>
  <c r="H125" i="1"/>
  <c r="F125" i="1"/>
  <c r="I124" i="1"/>
  <c r="H124" i="1"/>
  <c r="F124" i="1"/>
  <c r="I123" i="1"/>
  <c r="H123" i="1"/>
  <c r="F123" i="1"/>
  <c r="F121" i="1" s="1"/>
  <c r="F120" i="1" s="1"/>
  <c r="I122" i="1"/>
  <c r="I121" i="1" s="1"/>
  <c r="I120" i="1" s="1"/>
  <c r="G122" i="1"/>
  <c r="G121" i="1" s="1"/>
  <c r="G120" i="1" s="1"/>
  <c r="F122" i="1"/>
  <c r="E121" i="1"/>
  <c r="D121" i="1"/>
  <c r="E120" i="1"/>
  <c r="D120" i="1"/>
  <c r="I119" i="1"/>
  <c r="H119" i="1"/>
  <c r="F119" i="1"/>
  <c r="I118" i="1"/>
  <c r="G118" i="1"/>
  <c r="H118" i="1" s="1"/>
  <c r="F118" i="1"/>
  <c r="I117" i="1"/>
  <c r="G117" i="1"/>
  <c r="H117" i="1" s="1"/>
  <c r="F117" i="1"/>
  <c r="F115" i="1" s="1"/>
  <c r="F137" i="1" s="1"/>
  <c r="I116" i="1"/>
  <c r="I115" i="1" s="1"/>
  <c r="I137" i="1" s="1"/>
  <c r="G116" i="1"/>
  <c r="G115" i="1" s="1"/>
  <c r="F116" i="1"/>
  <c r="E115" i="1"/>
  <c r="E137" i="1" s="1"/>
  <c r="D115" i="1"/>
  <c r="D137" i="1" s="1"/>
  <c r="C113" i="1"/>
  <c r="E94" i="1"/>
  <c r="D94" i="1"/>
  <c r="I93" i="1"/>
  <c r="H93" i="1"/>
  <c r="G93" i="1"/>
  <c r="F93" i="1"/>
  <c r="I92" i="1"/>
  <c r="G92" i="1"/>
  <c r="H92" i="1" s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H86" i="1"/>
  <c r="G86" i="1"/>
  <c r="F86" i="1"/>
  <c r="I85" i="1"/>
  <c r="G85" i="1"/>
  <c r="H85" i="1" s="1"/>
  <c r="F85" i="1"/>
  <c r="I84" i="1"/>
  <c r="G84" i="1"/>
  <c r="G83" i="1" s="1"/>
  <c r="G82" i="1" s="1"/>
  <c r="F84" i="1"/>
  <c r="F83" i="1" s="1"/>
  <c r="F82" i="1" s="1"/>
  <c r="I83" i="1"/>
  <c r="I82" i="1" s="1"/>
  <c r="E83" i="1"/>
  <c r="D83" i="1"/>
  <c r="E82" i="1"/>
  <c r="D82" i="1"/>
  <c r="I81" i="1"/>
  <c r="I79" i="1" s="1"/>
  <c r="G81" i="1"/>
  <c r="H81" i="1" s="1"/>
  <c r="H79" i="1" s="1"/>
  <c r="F81" i="1"/>
  <c r="F79" i="1" s="1"/>
  <c r="I80" i="1"/>
  <c r="H80" i="1"/>
  <c r="G80" i="1"/>
  <c r="F80" i="1"/>
  <c r="E79" i="1"/>
  <c r="D79" i="1"/>
  <c r="C76" i="1"/>
  <c r="H72" i="1"/>
  <c r="F72" i="1"/>
  <c r="D72" i="1"/>
  <c r="H58" i="1"/>
  <c r="H57" i="1"/>
  <c r="I52" i="1"/>
  <c r="G52" i="1"/>
  <c r="G31" i="1" s="1"/>
  <c r="H31" i="1" s="1"/>
  <c r="F52" i="1"/>
  <c r="F31" i="1" s="1"/>
  <c r="I41" i="1"/>
  <c r="H41" i="1"/>
  <c r="G41" i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G35" i="1"/>
  <c r="G33" i="1" s="1"/>
  <c r="F35" i="1"/>
  <c r="I34" i="1"/>
  <c r="G34" i="1"/>
  <c r="H34" i="1" s="1"/>
  <c r="F34" i="1"/>
  <c r="E33" i="1"/>
  <c r="D33" i="1"/>
  <c r="I32" i="1"/>
  <c r="G32" i="1"/>
  <c r="H32" i="1" s="1"/>
  <c r="F32" i="1"/>
  <c r="I31" i="1"/>
  <c r="I30" i="1"/>
  <c r="G30" i="1"/>
  <c r="H30" i="1" s="1"/>
  <c r="F30" i="1"/>
  <c r="I29" i="1"/>
  <c r="G29" i="1"/>
  <c r="H29" i="1" s="1"/>
  <c r="F29" i="1"/>
  <c r="I28" i="1"/>
  <c r="G28" i="1"/>
  <c r="F28" i="1"/>
  <c r="I27" i="1"/>
  <c r="G27" i="1"/>
  <c r="H27" i="1" s="1"/>
  <c r="F27" i="1"/>
  <c r="E26" i="1"/>
  <c r="E25" i="1" s="1"/>
  <c r="E42" i="1" s="1"/>
  <c r="D26" i="1"/>
  <c r="D25" i="1" s="1"/>
  <c r="D42" i="1" s="1"/>
  <c r="I24" i="1"/>
  <c r="G24" i="1"/>
  <c r="H24" i="1" s="1"/>
  <c r="H22" i="1" s="1"/>
  <c r="F24" i="1"/>
  <c r="I23" i="1"/>
  <c r="G23" i="1"/>
  <c r="H23" i="1" s="1"/>
  <c r="F23" i="1"/>
  <c r="I22" i="1"/>
  <c r="G22" i="1"/>
  <c r="F22" i="1"/>
  <c r="E22" i="1"/>
  <c r="D22" i="1"/>
  <c r="H16" i="1"/>
  <c r="F16" i="1"/>
  <c r="D16" i="1"/>
  <c r="G137" i="1" l="1"/>
  <c r="F33" i="1"/>
  <c r="I26" i="1"/>
  <c r="I33" i="1"/>
  <c r="I25" i="1" s="1"/>
  <c r="G26" i="1"/>
  <c r="G25" i="1" s="1"/>
  <c r="G42" i="1" s="1"/>
  <c r="H262" i="1"/>
  <c r="H273" i="1" s="1"/>
  <c r="H33" i="1"/>
  <c r="H25" i="1" s="1"/>
  <c r="I273" i="1"/>
  <c r="I42" i="1"/>
  <c r="F94" i="1"/>
  <c r="G206" i="1"/>
  <c r="G304" i="1"/>
  <c r="H42" i="1"/>
  <c r="G273" i="1"/>
  <c r="H94" i="1"/>
  <c r="F219" i="1"/>
  <c r="G219" i="1" s="1"/>
  <c r="G215" i="1"/>
  <c r="F26" i="1"/>
  <c r="F25" i="1" s="1"/>
  <c r="F42" i="1" s="1"/>
  <c r="I94" i="1"/>
  <c r="G192" i="1"/>
  <c r="H192" i="1" s="1"/>
  <c r="H116" i="1"/>
  <c r="H115" i="1" s="1"/>
  <c r="H122" i="1"/>
  <c r="H121" i="1" s="1"/>
  <c r="H120" i="1" s="1"/>
  <c r="F241" i="1"/>
  <c r="G241" i="1" s="1"/>
  <c r="H35" i="1"/>
  <c r="G294" i="1"/>
  <c r="G79" i="1"/>
  <c r="G94" i="1" s="1"/>
  <c r="G323" i="1"/>
  <c r="G324" i="1" s="1"/>
  <c r="H52" i="1"/>
  <c r="F169" i="1"/>
  <c r="G169" i="1" s="1"/>
  <c r="H28" i="1"/>
  <c r="H26" i="1" s="1"/>
  <c r="F206" i="1"/>
  <c r="H84" i="1"/>
  <c r="H83" i="1" s="1"/>
  <c r="H82" i="1" s="1"/>
  <c r="H137" i="1" l="1"/>
</calcChain>
</file>

<file path=xl/sharedStrings.xml><?xml version="1.0" encoding="utf-8"?>
<sst xmlns="http://schemas.openxmlformats.org/spreadsheetml/2006/main" count="392" uniqueCount="166">
  <si>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</si>
  <si>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</si>
  <si>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</si>
  <si>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</si>
  <si>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</si>
  <si>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</si>
  <si>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</si>
  <si>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</si>
  <si>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</si>
  <si>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</si>
  <si>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</si>
  <si>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</si>
  <si>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</si>
  <si>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</si>
  <si>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</si>
  <si>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</si>
  <si>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</si>
  <si>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</si>
  <si>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</si>
  <si>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</si>
  <si>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</si>
  <si>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</si>
  <si>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</si>
  <si>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</si>
  <si>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</si>
  <si>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</si>
  <si>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</si>
  <si>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</si>
  <si>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</si>
  <si>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</si>
  <si>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</si>
  <si>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</si>
  <si>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</si>
  <si>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</si>
  <si>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</si>
  <si>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</si>
  <si>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</si>
  <si>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</si>
  <si>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</si>
  <si>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</si>
  <si>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</si>
  <si>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</si>
  <si>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</si>
  <si>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</si>
  <si>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</si>
  <si>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</si>
  <si>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</si>
  <si>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</si>
  <si>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</si>
  <si>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</si>
  <si>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</si>
  <si>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</si>
  <si>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</si>
  <si>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</si>
  <si>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</si>
  <si>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</si>
  <si>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</si>
  <si>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</si>
  <si>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</si>
  <si>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</si>
  <si>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</si>
  <si>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</si>
  <si>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</si>
  <si>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</si>
  <si>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</si>
  <si>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</si>
  <si>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</si>
  <si>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</si>
  <si>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</si>
  <si>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</si>
  <si>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</si>
  <si>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</si>
  <si>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</si>
  <si>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</si>
  <si>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</si>
  <si>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</si>
  <si>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</si>
  <si>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</si>
  <si>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</si>
  <si>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</si>
  <si>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</si>
  <si>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</si>
  <si>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</si>
  <si>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</si>
  <si>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</si>
  <si>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</si>
  <si>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</si>
  <si>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</si>
  <si>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</si>
  <si>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</si>
  <si>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</si>
  <si>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</si>
  <si>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</si>
  <si>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</si>
  <si>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</si>
  <si>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</si>
  <si>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</si>
  <si>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</si>
  <si>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</si>
  <si>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</si>
  <si>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</si>
  <si>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</si>
  <si>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</si>
  <si>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</si>
  <si>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</si>
  <si>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</si>
  <si>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</si>
  <si>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</si>
  <si>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</si>
  <si>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</si>
  <si>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</si>
  <si>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</si>
  <si>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</si>
  <si>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</si>
  <si>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</si>
  <si>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</si>
  <si>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</si>
  <si>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</si>
  <si>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</si>
  <si>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</si>
  <si>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</si>
  <si>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</si>
  <si>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</si>
  <si>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</si>
  <si>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</si>
  <si>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</si>
  <si>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</si>
  <si>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</si>
  <si>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</si>
  <si>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</si>
  <si>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</si>
  <si>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</si>
  <si>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</si>
  <si>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</si>
  <si>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</si>
  <si>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</si>
  <si>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</si>
  <si>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</si>
  <si>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</si>
  <si>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</si>
  <si>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</si>
  <si>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</si>
  <si>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</si>
  <si>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</si>
  <si>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</si>
  <si>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</si>
  <si>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</si>
  <si>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</si>
  <si>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</si>
  <si>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</si>
  <si>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</si>
  <si>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</si>
  <si>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</si>
  <si>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</si>
  <si>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</si>
  <si>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</si>
  <si>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</si>
  <si>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944 tonn er overført fra ubenyttet tredjelandskvoter til norsk totalkvote, hvorav 1 020 tonn til torsketrål, 308 til konvensjonelle havfiskefartøy, 554 tonn til lukket gruppe og 62 tonn til åpen gruppe </t>
    </r>
  </si>
  <si>
    <t>2 Registrert rekreasjonsfiske utgjør 48 tonn, men det legges til grunn at hele avsetningen tas</t>
  </si>
  <si>
    <t>4 Registrert rekreasjonsfiske utgjør 369 tonn, men det legges til grunn at hele avsetningen tas</t>
  </si>
  <si>
    <t>3 Registrert rekreasjonsfiske utgjør 832 tonn, men det legges til grunn at hele avsetningen tas</t>
  </si>
  <si>
    <t>FANGST UKE 31</t>
  </si>
  <si>
    <t>FANGST T.O.M UKE 31</t>
  </si>
  <si>
    <t>RESTKVOTER UKE 31</t>
  </si>
  <si>
    <t>FANGST T.O.M UKE 31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</si>
  <si>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1461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</si>
</sst>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31" t="s">
        <v>138</v>
      </c>
      <c r="C2" s="332"/>
      <c r="D2" s="332"/>
      <c r="E2" s="332"/>
      <c r="F2" s="332"/>
      <c r="G2" s="332"/>
      <c r="H2" s="332"/>
      <c r="I2" s="332"/>
      <c r="J2" s="333"/>
    </row>
    <row r="3" spans="1:10" ht="14.85" customHeight="1" x14ac:dyDescent="0.2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2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" customHeight="1" x14ac:dyDescent="0.2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2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2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2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" customHeight="1" x14ac:dyDescent="0.2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2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2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2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2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" customHeight="1" x14ac:dyDescent="0.2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80.4285</v>
      </c>
      <c r="G22" s="27">
        <f t="shared" si="0"/>
        <v>16461.565259999999</v>
      </c>
      <c r="H22" s="10">
        <f>H24+H23</f>
        <v>16970.434740000001</v>
      </c>
      <c r="I22" s="10">
        <f t="shared" si="0"/>
        <v>20854.336059999998</v>
      </c>
      <c r="J22" s="271"/>
    </row>
    <row r="23" spans="1:10" ht="14.1" customHeight="1" x14ac:dyDescent="0.25">
      <c r="A23" s="1"/>
      <c r="B23" s="281"/>
      <c r="C23" s="43" t="s">
        <v>20</v>
      </c>
      <c r="D23" s="44">
        <v>31785</v>
      </c>
      <c r="E23" s="44">
        <v>32689</v>
      </c>
      <c r="F23" s="22">
        <f>80.4285</f>
        <v>80.4285</v>
      </c>
      <c r="G23" s="22">
        <f>16060.12272</f>
        <v>16060.122719999999</v>
      </c>
      <c r="H23" s="22">
        <f>E23-G23</f>
        <v>16628.877280000001</v>
      </c>
      <c r="I23" s="22">
        <f>20484.40441</f>
        <v>20484.404409999999</v>
      </c>
      <c r="J23" s="271"/>
    </row>
    <row r="24" spans="1:10" ht="14.1" customHeight="1" x14ac:dyDescent="0.25">
      <c r="A24" s="1"/>
      <c r="B24" s="281"/>
      <c r="C24" s="47" t="s">
        <v>21</v>
      </c>
      <c r="D24" s="218">
        <v>750</v>
      </c>
      <c r="E24" s="218">
        <v>743</v>
      </c>
      <c r="F24" s="165">
        <f>0</f>
        <v>0</v>
      </c>
      <c r="G24" s="22">
        <f>401.44254</f>
        <v>401.44254000000001</v>
      </c>
      <c r="H24" s="22">
        <f>E24-G24</f>
        <v>341.55745999999999</v>
      </c>
      <c r="I24" s="22">
        <f>369.93165</f>
        <v>369.93164999999999</v>
      </c>
      <c r="J24" s="271"/>
    </row>
    <row r="25" spans="1:10" ht="14.1" customHeight="1" x14ac:dyDescent="0.2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385.78601000000003</v>
      </c>
      <c r="G25" s="10">
        <f t="shared" si="1"/>
        <v>84000.01161999999</v>
      </c>
      <c r="H25" s="10">
        <f>H33+H32+H26</f>
        <v>14041.988379999999</v>
      </c>
      <c r="I25" s="10">
        <f t="shared" si="1"/>
        <v>102348.09781000001</v>
      </c>
      <c r="J25" s="271"/>
    </row>
    <row r="26" spans="1:10" ht="15" customHeight="1" x14ac:dyDescent="0.2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348.88112000000001</v>
      </c>
      <c r="G26" s="129">
        <f>G27+G28+G29+G30+G31</f>
        <v>68421.030249999996</v>
      </c>
      <c r="H26" s="129">
        <f>H27+H28+H29+H30+H31</f>
        <v>9436.9697499999984</v>
      </c>
      <c r="I26" s="129">
        <f t="shared" ref="I26" si="2">I27+I28+I29+I30+I31</f>
        <v>82128.510860000009</v>
      </c>
      <c r="J26" s="271"/>
    </row>
    <row r="27" spans="1:10" ht="14.1" customHeight="1" x14ac:dyDescent="0.25">
      <c r="A27" s="192"/>
      <c r="B27" s="176"/>
      <c r="C27" s="60" t="s">
        <v>24</v>
      </c>
      <c r="D27" s="61">
        <v>19164</v>
      </c>
      <c r="E27" s="61">
        <v>20868</v>
      </c>
      <c r="F27" s="209">
        <f>38.1229 - F53</f>
        <v>13.122900000000001</v>
      </c>
      <c r="G27" s="123">
        <f>19414.23424 - G53</f>
        <v>19297.234240000002</v>
      </c>
      <c r="H27" s="123">
        <f t="shared" ref="H27:H41" si="3">E27-G27</f>
        <v>1570.7657599999984</v>
      </c>
      <c r="I27" s="123">
        <f>22755.48663 - I53</f>
        <v>22755.486629999999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19036</v>
      </c>
      <c r="E28" s="61">
        <v>19720</v>
      </c>
      <c r="F28" s="123">
        <f>73.82886 - F54</f>
        <v>15.828860000000006</v>
      </c>
      <c r="G28" s="123">
        <f>18922.35555 - G54</f>
        <v>18698.35555</v>
      </c>
      <c r="H28" s="123">
        <f t="shared" si="3"/>
        <v>1021.6444499999998</v>
      </c>
      <c r="I28" s="123">
        <f>22352.38921 - I54</f>
        <v>22352.389210000001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17407</v>
      </c>
      <c r="E29" s="61">
        <v>17625</v>
      </c>
      <c r="F29" s="123">
        <f>112.80844 - F55</f>
        <v>34.808440000000004</v>
      </c>
      <c r="G29" s="123">
        <f>16986.95698 - G55</f>
        <v>16446.956979999999</v>
      </c>
      <c r="H29" s="123">
        <f t="shared" si="3"/>
        <v>1178.043020000001</v>
      </c>
      <c r="I29" s="123">
        <f>21429.50682 - I55</f>
        <v>21429.506819999999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12796</v>
      </c>
      <c r="E30" s="61">
        <v>12954</v>
      </c>
      <c r="F30" s="123">
        <f>124.12092 - F56</f>
        <v>54.120919999999998</v>
      </c>
      <c r="G30" s="123">
        <f>13097.48348 - G56</f>
        <v>12580.483480000001</v>
      </c>
      <c r="H30" s="123">
        <f t="shared" si="3"/>
        <v>373.51651999999922</v>
      </c>
      <c r="I30" s="123">
        <f>15591.1282 - I56</f>
        <v>15591.128199999999</v>
      </c>
      <c r="J30" s="63"/>
    </row>
    <row r="31" spans="1:10" ht="14.1" customHeight="1" x14ac:dyDescent="0.25">
      <c r="A31" s="192"/>
      <c r="B31" s="176"/>
      <c r="C31" s="60" t="s">
        <v>136</v>
      </c>
      <c r="D31" s="61">
        <v>7085</v>
      </c>
      <c r="E31" s="61">
        <v>6691</v>
      </c>
      <c r="F31" s="123">
        <f>F52</f>
        <v>231</v>
      </c>
      <c r="G31" s="123">
        <f>G52</f>
        <v>1398</v>
      </c>
      <c r="H31" s="123">
        <f t="shared" si="3"/>
        <v>5293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10717</v>
      </c>
      <c r="E32" s="55">
        <v>10907</v>
      </c>
      <c r="F32" s="129">
        <f>1.344</f>
        <v>1.3440000000000001</v>
      </c>
      <c r="G32" s="129">
        <f>5819.22977</f>
        <v>5819.2297699999999</v>
      </c>
      <c r="H32" s="129">
        <f t="shared" si="3"/>
        <v>5087.7702300000001</v>
      </c>
      <c r="I32" s="129">
        <f>9069.17034</f>
        <v>9069.1703400000006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35.560890000000001</v>
      </c>
      <c r="G33" s="129">
        <f>G34+G35</f>
        <v>9759.7515999999996</v>
      </c>
      <c r="H33" s="129">
        <f t="shared" si="3"/>
        <v>-482.7515999999996</v>
      </c>
      <c r="I33" s="129">
        <f>I34+I35</f>
        <v>11150.41661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8392</v>
      </c>
      <c r="E34" s="61">
        <v>8412</v>
      </c>
      <c r="F34" s="123">
        <f>69.56089 - F57 - F58</f>
        <v>35.560890000000001</v>
      </c>
      <c r="G34" s="129">
        <f>12453.7516 - G57 - G58</f>
        <v>9759.7515999999996</v>
      </c>
      <c r="H34" s="123">
        <f t="shared" si="3"/>
        <v>-1347.7515999999996</v>
      </c>
      <c r="I34" s="123">
        <f>13132.41661 - I57 - I58</f>
        <v>11150.41661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25">
      <c r="A36" s="1"/>
      <c r="B36" s="281"/>
      <c r="C36" s="70" t="s">
        <v>32</v>
      </c>
      <c r="D36" s="140">
        <v>500</v>
      </c>
      <c r="E36" s="140">
        <v>500</v>
      </c>
      <c r="F36" s="136">
        <f>0</f>
        <v>0</v>
      </c>
      <c r="G36" s="136">
        <f>478.1416</f>
        <v>478.14159999999998</v>
      </c>
      <c r="H36" s="136">
        <f t="shared" si="3"/>
        <v>21.858400000000017</v>
      </c>
      <c r="I36" s="136">
        <f>280.2564</f>
        <v>280.25639999999999</v>
      </c>
      <c r="J36" s="271"/>
    </row>
    <row r="37" spans="1:10" ht="14.1" customHeight="1" x14ac:dyDescent="0.25">
      <c r="A37" s="1"/>
      <c r="B37" s="281"/>
      <c r="C37" s="70" t="s">
        <v>33</v>
      </c>
      <c r="D37" s="140">
        <v>880</v>
      </c>
      <c r="E37" s="140">
        <v>880</v>
      </c>
      <c r="F37" s="95">
        <f>0</f>
        <v>0</v>
      </c>
      <c r="G37" s="95">
        <f>556.58815</f>
        <v>556.58815000000004</v>
      </c>
      <c r="H37" s="95">
        <f t="shared" si="3"/>
        <v>323.41184999999996</v>
      </c>
      <c r="I37" s="95">
        <f>568.47531</f>
        <v>568.47531000000004</v>
      </c>
      <c r="J37" s="271"/>
    </row>
    <row r="38" spans="1:10" ht="17.25" customHeight="1" x14ac:dyDescent="0.2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34</v>
      </c>
      <c r="G38" s="95">
        <f>G58</f>
        <v>2694</v>
      </c>
      <c r="H38" s="95">
        <f t="shared" si="3"/>
        <v>306</v>
      </c>
      <c r="I38" s="95">
        <f>I58</f>
        <v>1982</v>
      </c>
      <c r="J38" s="271"/>
    </row>
    <row r="39" spans="1:10" ht="17.25" customHeight="1" x14ac:dyDescent="0.25">
      <c r="A39" s="1"/>
      <c r="B39" s="281"/>
      <c r="C39" s="70" t="s">
        <v>35</v>
      </c>
      <c r="D39" s="140">
        <v>7000</v>
      </c>
      <c r="E39" s="140">
        <v>7000</v>
      </c>
      <c r="F39" s="95">
        <f>27.00687</f>
        <v>27.006869999999999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25">
      <c r="A40" s="1"/>
      <c r="B40" s="281"/>
      <c r="C40" s="70" t="s">
        <v>37</v>
      </c>
      <c r="D40" s="140">
        <v>450</v>
      </c>
      <c r="E40" s="140">
        <v>450</v>
      </c>
      <c r="F40" s="95">
        <f>0.92796</f>
        <v>0.92796000000000001</v>
      </c>
      <c r="G40" s="95">
        <f>396.13617</f>
        <v>396.13616999999999</v>
      </c>
      <c r="H40" s="95">
        <f t="shared" si="3"/>
        <v>53.863830000000007</v>
      </c>
      <c r="I40" s="95">
        <f>375.45348</f>
        <v>375.45348000000001</v>
      </c>
      <c r="J40" s="271"/>
    </row>
    <row r="41" spans="1:10" ht="14.1" customHeight="1" x14ac:dyDescent="0.25">
      <c r="A41" s="1"/>
      <c r="B41" s="281"/>
      <c r="C41" s="70" t="s">
        <v>38</v>
      </c>
      <c r="D41" s="140"/>
      <c r="E41" s="136"/>
      <c r="F41" s="136">
        <f>0</f>
        <v>0</v>
      </c>
      <c r="G41" s="136">
        <f>51.74098</f>
        <v>51.74098</v>
      </c>
      <c r="H41" s="136">
        <f t="shared" si="3"/>
        <v>-51.74098</v>
      </c>
      <c r="I41" s="136">
        <f>79.51618</f>
        <v>79.516180000000006</v>
      </c>
      <c r="J41" s="271"/>
    </row>
    <row r="42" spans="1:10" ht="16.5" customHeight="1" x14ac:dyDescent="0.2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528.14934000000005</v>
      </c>
      <c r="G42" s="73">
        <f t="shared" si="4"/>
        <v>111638.18377999999</v>
      </c>
      <c r="H42" s="73">
        <f>H22+H25+H36+H37+H38+H39+H40+H41</f>
        <v>31665.816220000001</v>
      </c>
      <c r="I42" s="73">
        <f t="shared" si="4"/>
        <v>133488.13524</v>
      </c>
      <c r="J42" s="271"/>
    </row>
    <row r="43" spans="1:10" ht="14.1" customHeight="1" x14ac:dyDescent="0.25">
      <c r="A43" s="101"/>
      <c r="B43" s="24"/>
      <c r="C43" s="74" t="s">
        <v>139</v>
      </c>
      <c r="D43" s="216"/>
      <c r="E43" s="216"/>
      <c r="F43" s="76"/>
      <c r="G43" s="76"/>
      <c r="H43" s="255"/>
      <c r="I43" s="255"/>
      <c r="J43" s="77"/>
    </row>
    <row r="44" spans="1:10" ht="14.1" customHeight="1" x14ac:dyDescent="0.25">
      <c r="A44" s="101"/>
      <c r="B44" s="24"/>
      <c r="C44" s="78" t="s">
        <v>135</v>
      </c>
      <c r="D44" s="216"/>
      <c r="E44" s="216"/>
      <c r="F44" s="216"/>
      <c r="G44" s="76"/>
      <c r="H44" s="173"/>
      <c r="I44" s="173"/>
      <c r="J44" s="271"/>
    </row>
    <row r="45" spans="1:10" ht="14.1" customHeight="1" x14ac:dyDescent="0.2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140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25">
      <c r="A49" s="101"/>
      <c r="B49" s="24"/>
      <c r="C49" s="324" t="s">
        <v>137</v>
      </c>
      <c r="D49" s="324"/>
      <c r="E49" s="324"/>
      <c r="F49" s="324"/>
      <c r="G49" s="324"/>
      <c r="H49" s="324"/>
      <c r="I49" s="80"/>
      <c r="J49" s="81"/>
    </row>
    <row r="50" spans="1:10" ht="15.9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" customHeight="1" x14ac:dyDescent="0.2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231</v>
      </c>
      <c r="G52" s="10">
        <f>G56+G55+G54+G53</f>
        <v>1398</v>
      </c>
      <c r="H52" s="325">
        <f>E52-G52</f>
        <v>5293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326"/>
      <c r="E53" s="326"/>
      <c r="F53" s="123">
        <v>25</v>
      </c>
      <c r="G53" s="123">
        <v>117</v>
      </c>
      <c r="H53" s="326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326"/>
      <c r="E54" s="326"/>
      <c r="F54" s="123">
        <v>58</v>
      </c>
      <c r="G54" s="123">
        <v>224</v>
      </c>
      <c r="H54" s="326"/>
      <c r="I54" s="123"/>
      <c r="J54" s="271"/>
    </row>
    <row r="55" spans="1:10" ht="14.1" customHeight="1" x14ac:dyDescent="0.25">
      <c r="A55" s="101"/>
      <c r="B55" s="24"/>
      <c r="C55" s="60" t="s">
        <v>26</v>
      </c>
      <c r="D55" s="326"/>
      <c r="E55" s="326"/>
      <c r="F55" s="123">
        <v>78</v>
      </c>
      <c r="G55" s="123">
        <v>540</v>
      </c>
      <c r="H55" s="326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327"/>
      <c r="E56" s="327"/>
      <c r="F56" s="186">
        <v>70</v>
      </c>
      <c r="G56" s="186">
        <v>517</v>
      </c>
      <c r="H56" s="327"/>
      <c r="I56" s="186"/>
      <c r="J56" s="117"/>
    </row>
    <row r="57" spans="1:10" ht="14.1" customHeight="1" x14ac:dyDescent="0.2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>
        <v>3000</v>
      </c>
      <c r="F58" s="136">
        <v>34</v>
      </c>
      <c r="G58" s="136">
        <v>2694</v>
      </c>
      <c r="H58" s="136">
        <f>E58-G58</f>
        <v>306</v>
      </c>
      <c r="I58" s="136">
        <v>1982</v>
      </c>
      <c r="J58" s="117"/>
    </row>
    <row r="59" spans="1:10" ht="14.1" customHeight="1" x14ac:dyDescent="0.25">
      <c r="A59" s="101"/>
      <c r="B59" s="24"/>
      <c r="C59" s="74" t="s">
        <v>141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25">
      <c r="B69" s="281"/>
      <c r="C69" s="110" t="s">
        <v>79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2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" customHeight="1" x14ac:dyDescent="0.2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2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25">
      <c r="A73" s="1"/>
      <c r="B73" s="281"/>
      <c r="C73" s="101" t="s">
        <v>157</v>
      </c>
      <c r="D73" s="244"/>
      <c r="E73" s="244"/>
      <c r="F73" s="244"/>
      <c r="G73" s="244"/>
      <c r="H73" s="244"/>
      <c r="I73" s="263"/>
      <c r="J73" s="117"/>
    </row>
    <row r="74" spans="1:10" ht="6" customHeight="1" x14ac:dyDescent="0.2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" customHeight="1" x14ac:dyDescent="0.2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2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2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" customHeight="1" x14ac:dyDescent="0.25">
      <c r="A79" s="1"/>
      <c r="B79" s="281"/>
      <c r="C79" s="31" t="s">
        <v>19</v>
      </c>
      <c r="D79" s="27">
        <f>D80+D81</f>
        <v>28395</v>
      </c>
      <c r="E79" s="27">
        <f>E81+E80</f>
        <v>29899</v>
      </c>
      <c r="F79" s="10">
        <f t="shared" ref="F79:I79" si="5">F81+F80</f>
        <v>51.527000000000001</v>
      </c>
      <c r="G79" s="10">
        <f t="shared" si="5"/>
        <v>22956.87443</v>
      </c>
      <c r="H79" s="10">
        <f>H81+H80</f>
        <v>6942.1255700000002</v>
      </c>
      <c r="I79" s="10">
        <f t="shared" si="5"/>
        <v>19587.765149999999</v>
      </c>
      <c r="J79" s="271"/>
    </row>
    <row r="80" spans="1:10" ht="15" customHeight="1" x14ac:dyDescent="0.25">
      <c r="A80" s="1"/>
      <c r="B80" s="281"/>
      <c r="C80" s="43" t="s">
        <v>20</v>
      </c>
      <c r="D80" s="44">
        <v>27645</v>
      </c>
      <c r="E80" s="44">
        <v>29143</v>
      </c>
      <c r="F80" s="22">
        <f>51.527</f>
        <v>51.527000000000001</v>
      </c>
      <c r="G80" s="22">
        <f>22406.2199</f>
        <v>22406.2199</v>
      </c>
      <c r="H80" s="22">
        <f>E80-G80</f>
        <v>6736.7800999999999</v>
      </c>
      <c r="I80" s="22">
        <f>19151.28813</f>
        <v>19151.288130000001</v>
      </c>
      <c r="J80" s="271"/>
    </row>
    <row r="81" spans="1:10" ht="14.1" customHeight="1" x14ac:dyDescent="0.25">
      <c r="A81" s="1"/>
      <c r="B81" s="281"/>
      <c r="C81" s="62" t="s">
        <v>21</v>
      </c>
      <c r="D81" s="218">
        <v>750</v>
      </c>
      <c r="E81" s="218">
        <v>756</v>
      </c>
      <c r="F81" s="48">
        <f>0</f>
        <v>0</v>
      </c>
      <c r="G81" s="48">
        <f>550.65453</f>
        <v>550.65453000000002</v>
      </c>
      <c r="H81" s="48">
        <f>E81-G81</f>
        <v>205.34546999999998</v>
      </c>
      <c r="I81" s="48">
        <f>436.47702</f>
        <v>436.47701999999998</v>
      </c>
      <c r="J81" s="271"/>
    </row>
    <row r="82" spans="1:10" ht="15.75" customHeight="1" x14ac:dyDescent="0.25">
      <c r="A82" s="1"/>
      <c r="B82" s="50"/>
      <c r="C82" s="15" t="s">
        <v>22</v>
      </c>
      <c r="D82" s="27">
        <f>D83+D88+D89</f>
        <v>47281</v>
      </c>
      <c r="E82" s="27">
        <f>E83+E88+E89</f>
        <v>51672</v>
      </c>
      <c r="F82" s="10">
        <f t="shared" ref="F82:I82" si="6">F83+F88+F89</f>
        <v>613.62394000000006</v>
      </c>
      <c r="G82" s="10">
        <f t="shared" si="6"/>
        <v>29690.735559999957</v>
      </c>
      <c r="H82" s="10">
        <f>H83+H88+H89</f>
        <v>21981.264440000043</v>
      </c>
      <c r="I82" s="10">
        <f t="shared" si="6"/>
        <v>29296.603609999991</v>
      </c>
      <c r="J82" s="271"/>
    </row>
    <row r="83" spans="1:10" ht="14.1" customHeight="1" x14ac:dyDescent="0.25">
      <c r="A83" s="1"/>
      <c r="B83" s="51"/>
      <c r="C83" s="54" t="s">
        <v>23</v>
      </c>
      <c r="D83" s="55">
        <f>D84+D85+D86+D87</f>
        <v>35236</v>
      </c>
      <c r="E83" s="55">
        <f>E87+E86+E85+E84</f>
        <v>38016</v>
      </c>
      <c r="F83" s="129">
        <f t="shared" ref="F83:I83" si="7">F84+F85+F86+F87</f>
        <v>571.66974000000005</v>
      </c>
      <c r="G83" s="129">
        <f t="shared" si="7"/>
        <v>23599.14172999997</v>
      </c>
      <c r="H83" s="129">
        <f>H84+H85+H86+H87</f>
        <v>14416.85827000003</v>
      </c>
      <c r="I83" s="129">
        <f t="shared" si="7"/>
        <v>23299.51773999997</v>
      </c>
      <c r="J83" s="271"/>
    </row>
    <row r="84" spans="1:10" ht="14.1" customHeight="1" x14ac:dyDescent="0.25">
      <c r="A84" s="192"/>
      <c r="B84" s="176"/>
      <c r="C84" s="60" t="s">
        <v>24</v>
      </c>
      <c r="D84" s="61">
        <v>9425</v>
      </c>
      <c r="E84" s="61">
        <v>10530</v>
      </c>
      <c r="F84" s="123">
        <f>36.56911</f>
        <v>36.569110000000002</v>
      </c>
      <c r="G84" s="123">
        <f>2905.71831999998</f>
        <v>2905.7183199999799</v>
      </c>
      <c r="H84" s="123">
        <f t="shared" ref="H84:H93" si="8">E84-G84</f>
        <v>7624.2816800000201</v>
      </c>
      <c r="I84" s="123">
        <f>3055.77988999997</f>
        <v>3055.7798899999698</v>
      </c>
      <c r="J84" s="271"/>
    </row>
    <row r="85" spans="1:10" ht="14.1" customHeight="1" x14ac:dyDescent="0.25">
      <c r="A85" s="192"/>
      <c r="B85" s="176"/>
      <c r="C85" s="60" t="s">
        <v>48</v>
      </c>
      <c r="D85" s="61">
        <v>9801</v>
      </c>
      <c r="E85" s="61">
        <v>10962</v>
      </c>
      <c r="F85" s="123">
        <f>102.17085</f>
        <v>102.17085</v>
      </c>
      <c r="G85" s="123">
        <f>6828.46761999999</f>
        <v>6828.4676199999903</v>
      </c>
      <c r="H85" s="123">
        <f t="shared" si="8"/>
        <v>4133.5323800000097</v>
      </c>
      <c r="I85" s="123">
        <f>6106.86696999998</f>
        <v>6106.86696999998</v>
      </c>
      <c r="J85" s="271"/>
    </row>
    <row r="86" spans="1:10" ht="14.1" customHeight="1" x14ac:dyDescent="0.25">
      <c r="A86" s="192"/>
      <c r="B86" s="176"/>
      <c r="C86" s="60" t="s">
        <v>49</v>
      </c>
      <c r="D86" s="61">
        <v>9599</v>
      </c>
      <c r="E86" s="61">
        <v>9908</v>
      </c>
      <c r="F86" s="123">
        <f>161.98372</f>
        <v>161.98372000000001</v>
      </c>
      <c r="G86" s="123">
        <f>7067.77568999999</f>
        <v>7067.7756899999904</v>
      </c>
      <c r="H86" s="123">
        <f t="shared" si="8"/>
        <v>2840.2243100000096</v>
      </c>
      <c r="I86" s="123">
        <f>7334.79036000001</f>
        <v>7334.79036000001</v>
      </c>
      <c r="J86" s="271"/>
    </row>
    <row r="87" spans="1:10" ht="14.1" customHeight="1" x14ac:dyDescent="0.25">
      <c r="A87" s="192"/>
      <c r="B87" s="176"/>
      <c r="C87" s="60" t="s">
        <v>27</v>
      </c>
      <c r="D87" s="61">
        <v>6411</v>
      </c>
      <c r="E87" s="61">
        <v>6616</v>
      </c>
      <c r="F87" s="123">
        <f>270.94606</f>
        <v>270.94605999999999</v>
      </c>
      <c r="G87" s="123">
        <f>6797.18010000001</f>
        <v>6797.1801000000096</v>
      </c>
      <c r="H87" s="123">
        <f t="shared" si="8"/>
        <v>-181.18010000000959</v>
      </c>
      <c r="I87" s="123">
        <f>6802.08052000001</f>
        <v>6802.0805200000104</v>
      </c>
      <c r="J87" s="271"/>
    </row>
    <row r="88" spans="1:10" ht="14.1" customHeight="1" x14ac:dyDescent="0.25">
      <c r="A88" s="192"/>
      <c r="B88" s="176"/>
      <c r="C88" s="54" t="s">
        <v>50</v>
      </c>
      <c r="D88" s="55">
        <v>8339</v>
      </c>
      <c r="E88" s="55">
        <v>9513</v>
      </c>
      <c r="F88" s="129">
        <f>0.1344</f>
        <v>0.13439999999999999</v>
      </c>
      <c r="G88" s="129">
        <f>4601.28418</f>
        <v>4601.2841799999997</v>
      </c>
      <c r="H88" s="129">
        <f t="shared" si="8"/>
        <v>4911.7158200000003</v>
      </c>
      <c r="I88" s="129">
        <f>4717.61057</f>
        <v>4717.6105699999998</v>
      </c>
      <c r="J88" s="271"/>
    </row>
    <row r="89" spans="1:10" ht="15.75" customHeight="1" x14ac:dyDescent="0.25">
      <c r="A89" s="1"/>
      <c r="B89" s="51"/>
      <c r="C89" s="37" t="s">
        <v>11</v>
      </c>
      <c r="D89" s="59">
        <v>3706</v>
      </c>
      <c r="E89" s="59">
        <v>4143</v>
      </c>
      <c r="F89" s="72">
        <f>41.8198</f>
        <v>41.819800000000001</v>
      </c>
      <c r="G89" s="72">
        <f>1490.30964999999</f>
        <v>1490.3096499999899</v>
      </c>
      <c r="H89" s="72">
        <f t="shared" si="8"/>
        <v>2652.6903500000099</v>
      </c>
      <c r="I89" s="72">
        <f>1279.47530000002</f>
        <v>1279.4753000000201</v>
      </c>
      <c r="J89" s="271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11.61987</f>
        <v>11.619870000000001</v>
      </c>
      <c r="H90" s="95">
        <f t="shared" si="8"/>
        <v>307.38013000000001</v>
      </c>
      <c r="I90" s="95">
        <f>33.07107</f>
        <v>33.071069999999999</v>
      </c>
      <c r="J90" s="271"/>
    </row>
    <row r="91" spans="1:10" ht="18" customHeight="1" x14ac:dyDescent="0.25">
      <c r="A91" s="1"/>
      <c r="B91" s="281"/>
      <c r="C91" s="70" t="s">
        <v>51</v>
      </c>
      <c r="D91" s="140">
        <v>300</v>
      </c>
      <c r="E91" s="140">
        <v>300</v>
      </c>
      <c r="F91" s="136">
        <f>1.11325</f>
        <v>1.1132500000000001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25">
      <c r="A92" s="1"/>
      <c r="B92" s="281"/>
      <c r="C92" s="89" t="s">
        <v>37</v>
      </c>
      <c r="D92" s="140">
        <v>50</v>
      </c>
      <c r="E92" s="140">
        <v>50</v>
      </c>
      <c r="F92" s="95">
        <f>0.25422</f>
        <v>0.25422</v>
      </c>
      <c r="G92" s="95">
        <f>4.66279</f>
        <v>4.6627900000000002</v>
      </c>
      <c r="H92" s="136">
        <f t="shared" si="8"/>
        <v>45.337209999999999</v>
      </c>
      <c r="I92" s="95">
        <f>12.32218</f>
        <v>12.322179999999999</v>
      </c>
      <c r="J92" s="271"/>
    </row>
    <row r="93" spans="1:10" ht="18" customHeight="1" x14ac:dyDescent="0.25">
      <c r="A93" s="1"/>
      <c r="B93" s="281"/>
      <c r="C93" s="89" t="s">
        <v>52</v>
      </c>
      <c r="D93" s="140"/>
      <c r="E93" s="136"/>
      <c r="F93" s="136">
        <f>0</f>
        <v>0</v>
      </c>
      <c r="G93" s="136">
        <f>9.56062</f>
        <v>9.5606200000000001</v>
      </c>
      <c r="H93" s="136">
        <f t="shared" si="8"/>
        <v>-9.5606200000000001</v>
      </c>
      <c r="I93" s="136">
        <f>11.9004</f>
        <v>11.900399999999999</v>
      </c>
      <c r="J93" s="271"/>
    </row>
    <row r="94" spans="1:10" ht="16.5" customHeight="1" x14ac:dyDescent="0.2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82240</v>
      </c>
      <c r="F94" s="73">
        <f t="shared" ref="F94:I94" si="10">F79+F82+F90+F91+F92+F93</f>
        <v>666.51841000000013</v>
      </c>
      <c r="G94" s="73">
        <f t="shared" si="10"/>
        <v>52973.453269999955</v>
      </c>
      <c r="H94" s="73">
        <f>H79+H82+H90+H91+H92+H93</f>
        <v>29266.546730000045</v>
      </c>
      <c r="I94" s="73">
        <f t="shared" si="10"/>
        <v>49241.66240999999</v>
      </c>
      <c r="J94" s="271"/>
    </row>
    <row r="95" spans="1:10" ht="13.5" customHeight="1" x14ac:dyDescent="0.25">
      <c r="A95" s="1"/>
      <c r="B95" s="281"/>
      <c r="C95" s="74" t="s">
        <v>142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2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25">
      <c r="A97" s="1"/>
      <c r="B97" s="24"/>
      <c r="C97" s="156" t="s">
        <v>143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2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2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" customHeight="1" x14ac:dyDescent="0.2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" customHeight="1" x14ac:dyDescent="0.2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" customHeight="1" x14ac:dyDescent="0.2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" customHeight="1" x14ac:dyDescent="0.25">
      <c r="A109" s="1"/>
      <c r="B109" s="149"/>
      <c r="C109" s="161"/>
      <c r="D109" s="185"/>
      <c r="E109" s="185" t="s">
        <v>144</v>
      </c>
      <c r="F109" s="114">
        <v>4158</v>
      </c>
      <c r="G109" s="110"/>
      <c r="H109" s="161"/>
      <c r="I109" s="173"/>
      <c r="J109" s="271"/>
    </row>
    <row r="110" spans="1:10" ht="12" customHeight="1" x14ac:dyDescent="0.2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25">
      <c r="A111" s="101"/>
      <c r="B111" s="24"/>
      <c r="C111" s="101" t="s">
        <v>145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2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" customHeight="1" x14ac:dyDescent="0.2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46.256399999999999</v>
      </c>
      <c r="G115" s="10">
        <f t="shared" si="11"/>
        <v>20347.2156</v>
      </c>
      <c r="H115" s="10">
        <f t="shared" si="11"/>
        <v>33898.784400000004</v>
      </c>
      <c r="I115" s="10">
        <f t="shared" si="11"/>
        <v>32732.694869999999</v>
      </c>
      <c r="J115" s="271"/>
    </row>
    <row r="116" spans="1:10" ht="14.1" customHeight="1" x14ac:dyDescent="0.25">
      <c r="A116" s="1"/>
      <c r="B116" s="281"/>
      <c r="C116" s="43" t="s">
        <v>20</v>
      </c>
      <c r="D116" s="44">
        <v>43397</v>
      </c>
      <c r="E116" s="44">
        <v>43397</v>
      </c>
      <c r="F116" s="22">
        <f>46.2564</f>
        <v>46.256399999999999</v>
      </c>
      <c r="G116" s="22">
        <f>17799.7224</f>
        <v>17799.722399999999</v>
      </c>
      <c r="H116" s="22">
        <f>E116-G116</f>
        <v>25597.277600000001</v>
      </c>
      <c r="I116" s="22">
        <f>29277.08888</f>
        <v>29277.088879999999</v>
      </c>
      <c r="J116" s="271"/>
    </row>
    <row r="117" spans="1:10" ht="15" customHeight="1" x14ac:dyDescent="0.25">
      <c r="A117" s="1"/>
      <c r="B117" s="281"/>
      <c r="C117" s="43" t="s">
        <v>21</v>
      </c>
      <c r="D117" s="44">
        <v>10349</v>
      </c>
      <c r="E117" s="44">
        <v>10349</v>
      </c>
      <c r="F117" s="22">
        <f>0</f>
        <v>0</v>
      </c>
      <c r="G117" s="22">
        <f>2474.5527</f>
        <v>2474.5527000000002</v>
      </c>
      <c r="H117" s="22">
        <f>E117-G117</f>
        <v>7874.4472999999998</v>
      </c>
      <c r="I117" s="22">
        <f>3390.24839</f>
        <v>3390.2483900000002</v>
      </c>
      <c r="J117" s="271"/>
    </row>
    <row r="118" spans="1:10" ht="13.5" customHeight="1" x14ac:dyDescent="0.25">
      <c r="A118" s="1"/>
      <c r="B118" s="281"/>
      <c r="C118" s="47" t="s">
        <v>59</v>
      </c>
      <c r="D118" s="32">
        <v>500</v>
      </c>
      <c r="E118" s="32">
        <v>500</v>
      </c>
      <c r="F118" s="22">
        <f>0</f>
        <v>0</v>
      </c>
      <c r="G118" s="22">
        <f>72.9405</f>
        <v>72.9405</v>
      </c>
      <c r="H118" s="53">
        <f>E118-G118</f>
        <v>427.05950000000001</v>
      </c>
      <c r="I118" s="22">
        <f>65.3576</f>
        <v>65.357600000000005</v>
      </c>
      <c r="J118" s="271"/>
    </row>
    <row r="119" spans="1:10" ht="14.25" customHeight="1" x14ac:dyDescent="0.25">
      <c r="A119" s="65"/>
      <c r="B119" s="75"/>
      <c r="C119" s="85" t="s">
        <v>60</v>
      </c>
      <c r="D119" s="87">
        <v>36653</v>
      </c>
      <c r="E119" s="87">
        <v>36653</v>
      </c>
      <c r="F119" s="92">
        <f>277.159</f>
        <v>277.15899999999999</v>
      </c>
      <c r="G119" s="92">
        <f>16719.2775+1460.6636</f>
        <v>18179.9411</v>
      </c>
      <c r="H119" s="92">
        <f>E119-G119</f>
        <v>18473.0589</v>
      </c>
      <c r="I119" s="92">
        <f>25581.04275</f>
        <v>25581.042750000001</v>
      </c>
      <c r="J119" s="111"/>
    </row>
    <row r="120" spans="1:10" ht="15.75" customHeight="1" x14ac:dyDescent="0.2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584.81713000000002</v>
      </c>
      <c r="G120" s="91">
        <f t="shared" ref="G120" si="12">G121+G126+G129</f>
        <v>24344.421920000023</v>
      </c>
      <c r="H120" s="91">
        <f>H121+H126+H129</f>
        <v>32765.578079999977</v>
      </c>
      <c r="I120" s="91">
        <f>I121+I126+I129</f>
        <v>39470.413949999987</v>
      </c>
      <c r="J120" s="117"/>
    </row>
    <row r="121" spans="1:10" ht="14.1" customHeight="1" x14ac:dyDescent="0.2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454.92464999999999</v>
      </c>
      <c r="G121" s="121">
        <f>G122+G123+G125+G124</f>
        <v>18078.948650000042</v>
      </c>
      <c r="H121" s="121">
        <f>H122+H123+H124+H125</f>
        <v>25103.051349999958</v>
      </c>
      <c r="I121" s="121">
        <f>I122+I123+I124+I125</f>
        <v>29640.322580000018</v>
      </c>
      <c r="J121" s="305"/>
    </row>
    <row r="122" spans="1:10" ht="14.1" customHeight="1" x14ac:dyDescent="0.25">
      <c r="A122" s="192"/>
      <c r="B122" s="122"/>
      <c r="C122" s="60" t="s">
        <v>24</v>
      </c>
      <c r="D122" s="61">
        <v>11476</v>
      </c>
      <c r="E122" s="61">
        <v>11476</v>
      </c>
      <c r="F122" s="123">
        <f>80.04551</f>
        <v>80.045509999999993</v>
      </c>
      <c r="G122" s="123">
        <f>5001.95020000001</f>
        <v>5001.9502000000102</v>
      </c>
      <c r="H122" s="123">
        <f>E122-G122</f>
        <v>6474.0497999999898</v>
      </c>
      <c r="I122" s="123">
        <f>6663.33799000001</f>
        <v>6663.33799000001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11835</v>
      </c>
      <c r="E123" s="61">
        <v>11835</v>
      </c>
      <c r="F123" s="123">
        <f>89.06131</f>
        <v>89.061310000000006</v>
      </c>
      <c r="G123" s="123">
        <f>5234.32633000001-16.5043</f>
        <v>5217.8220300000103</v>
      </c>
      <c r="H123" s="123">
        <f>E123-G123</f>
        <v>6617.1779699999897</v>
      </c>
      <c r="I123" s="123">
        <f>8323.99499</f>
        <v>8323.9949899999992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10473</v>
      </c>
      <c r="E124" s="61">
        <v>10473</v>
      </c>
      <c r="F124" s="123">
        <f>140.83023</f>
        <v>140.83023</v>
      </c>
      <c r="G124" s="123">
        <f>4502.57719000001-102.1204</f>
        <v>4400.4567900000102</v>
      </c>
      <c r="H124" s="123">
        <f>E124-G124</f>
        <v>6072.5432099999898</v>
      </c>
      <c r="I124" s="123">
        <f>6984.41954</f>
        <v>6984.4195399999999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9398</v>
      </c>
      <c r="E125" s="61">
        <v>9398</v>
      </c>
      <c r="F125" s="123">
        <f>144.9876</f>
        <v>144.98759999999999</v>
      </c>
      <c r="G125" s="123">
        <f>4919.38323000001-1460.6636</f>
        <v>3458.7196300000105</v>
      </c>
      <c r="H125" s="123">
        <f>E125-G125</f>
        <v>5939.2803699999895</v>
      </c>
      <c r="I125" s="123">
        <f>7668.57006000001</f>
        <v>7668.57006000001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0.20655000000000001</v>
      </c>
      <c r="G126" s="129">
        <f>SUM(G127:G128)</f>
        <v>2070.4375300000002</v>
      </c>
      <c r="H126" s="129">
        <f>H127+H128</f>
        <v>4057.5624699999998</v>
      </c>
      <c r="I126" s="129">
        <f>SUM(I127:I128)</f>
        <v>5879.7745999999997</v>
      </c>
      <c r="J126" s="130"/>
    </row>
    <row r="127" spans="1:10" ht="14.1" customHeight="1" x14ac:dyDescent="0.25">
      <c r="A127" s="1"/>
      <c r="B127" s="281"/>
      <c r="C127" s="60" t="s">
        <v>62</v>
      </c>
      <c r="D127" s="61">
        <v>5628</v>
      </c>
      <c r="E127" s="61">
        <v>5628</v>
      </c>
      <c r="F127" s="123">
        <f>0.20655</f>
        <v>0.20655000000000001</v>
      </c>
      <c r="G127" s="123">
        <f>1857.43971</f>
        <v>1857.4397100000001</v>
      </c>
      <c r="H127" s="123">
        <f t="shared" ref="H127:H135" si="13">E127-G127</f>
        <v>3770.5602899999999</v>
      </c>
      <c r="I127" s="123">
        <f>5730.3431</f>
        <v>5730.3431</v>
      </c>
      <c r="J127" s="117"/>
    </row>
    <row r="128" spans="1:10" ht="15" customHeight="1" x14ac:dyDescent="0.25">
      <c r="A128" s="1"/>
      <c r="B128" s="51"/>
      <c r="C128" s="60" t="s">
        <v>63</v>
      </c>
      <c r="D128" s="61">
        <v>500</v>
      </c>
      <c r="E128" s="61">
        <v>500</v>
      </c>
      <c r="F128" s="123">
        <f>0</f>
        <v>0</v>
      </c>
      <c r="G128" s="123">
        <f>212.99782</f>
        <v>212.99781999999999</v>
      </c>
      <c r="H128" s="123">
        <f t="shared" si="13"/>
        <v>287.00218000000001</v>
      </c>
      <c r="I128" s="123">
        <f>149.4315</f>
        <v>149.4315</v>
      </c>
      <c r="J128" s="131"/>
    </row>
    <row r="129" spans="1:10" ht="15.75" customHeight="1" x14ac:dyDescent="0.25">
      <c r="A129" s="1"/>
      <c r="B129" s="281"/>
      <c r="C129" s="37" t="s">
        <v>11</v>
      </c>
      <c r="D129" s="59">
        <v>7800</v>
      </c>
      <c r="E129" s="59">
        <v>7800</v>
      </c>
      <c r="F129" s="72">
        <f>129.68593</f>
        <v>129.68593000000001</v>
      </c>
      <c r="G129" s="72">
        <f>4195.03573999998</f>
        <v>4195.0357399999803</v>
      </c>
      <c r="H129" s="72">
        <f t="shared" si="13"/>
        <v>3604.9642600000197</v>
      </c>
      <c r="I129" s="72">
        <f>3950.31676999997</f>
        <v>3950.3167699999699</v>
      </c>
      <c r="J129" s="117"/>
    </row>
    <row r="130" spans="1:10" ht="15.75" customHeight="1" x14ac:dyDescent="0.25">
      <c r="A130" s="1"/>
      <c r="B130" s="281"/>
      <c r="C130" s="139" t="s">
        <v>33</v>
      </c>
      <c r="D130" s="140">
        <v>156</v>
      </c>
      <c r="E130" s="140">
        <v>156</v>
      </c>
      <c r="F130" s="136">
        <f>0</f>
        <v>0</v>
      </c>
      <c r="G130" s="136">
        <f>13.02868</f>
        <v>13.02868</v>
      </c>
      <c r="H130" s="136">
        <f t="shared" si="13"/>
        <v>142.97131999999999</v>
      </c>
      <c r="I130" s="136">
        <f>16.4505</f>
        <v>16.450500000000002</v>
      </c>
      <c r="J130" s="117"/>
    </row>
    <row r="131" spans="1:10" ht="15.75" customHeight="1" x14ac:dyDescent="0.2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232.166</f>
        <v>232.166</v>
      </c>
      <c r="H131" s="95">
        <f t="shared" si="13"/>
        <v>117.834</v>
      </c>
      <c r="I131" s="95">
        <f>346.269</f>
        <v>346.26900000000001</v>
      </c>
      <c r="J131" s="117"/>
    </row>
    <row r="132" spans="1:10" ht="18" customHeight="1" x14ac:dyDescent="0.25">
      <c r="A132" s="1"/>
      <c r="B132" s="281"/>
      <c r="C132" s="137" t="s">
        <v>65</v>
      </c>
      <c r="D132" s="140">
        <v>2000</v>
      </c>
      <c r="E132" s="140">
        <v>2000</v>
      </c>
      <c r="F132" s="136">
        <f>15.069</f>
        <v>15.069000000000001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2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25">
      <c r="A134" s="1"/>
      <c r="B134" s="281"/>
      <c r="C134" s="139" t="s">
        <v>66</v>
      </c>
      <c r="D134" s="140">
        <v>255</v>
      </c>
      <c r="E134" s="140">
        <v>255</v>
      </c>
      <c r="F134" s="95">
        <f>4.7046</f>
        <v>4.7046000000000001</v>
      </c>
      <c r="G134" s="95">
        <f>11.79338</f>
        <v>11.793380000000001</v>
      </c>
      <c r="H134" s="136">
        <f t="shared" si="13"/>
        <v>243.20661999999999</v>
      </c>
      <c r="I134" s="95">
        <f>85.958</f>
        <v>85.957999999999998</v>
      </c>
      <c r="J134" s="117"/>
    </row>
    <row r="135" spans="1:10" ht="15" customHeight="1" x14ac:dyDescent="0.2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77.2108</f>
        <v>77.210800000000006</v>
      </c>
      <c r="H135" s="136">
        <f t="shared" si="13"/>
        <v>-77.210800000000006</v>
      </c>
      <c r="I135" s="136">
        <f>77.43246</f>
        <v>77.432460000000006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928.00612999999998</v>
      </c>
      <c r="G137" s="73">
        <f>G115+G119+G120+G130+G131+G132+G133+G134+G135</f>
        <v>65205.777480000026</v>
      </c>
      <c r="H137" s="73">
        <f>H115+H119+H120+H130+H131+H132+H133+H134+H135</f>
        <v>85564.222519999981</v>
      </c>
      <c r="I137" s="73">
        <f>I115+I119+I120+I130+I131+I132+I133+I134+I135</f>
        <v>100310.26152999999</v>
      </c>
      <c r="J137" s="155"/>
    </row>
    <row r="138" spans="1:10" ht="14.25" customHeight="1" x14ac:dyDescent="0.2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156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2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2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2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25">
      <c r="A143" s="152"/>
      <c r="B143" s="50"/>
      <c r="C143" s="74" t="s">
        <v>146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" customHeight="1" x14ac:dyDescent="0.2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" customHeight="1" x14ac:dyDescent="0.2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" customHeight="1" x14ac:dyDescent="0.2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" customHeight="1" x14ac:dyDescent="0.2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" customHeight="1" x14ac:dyDescent="0.2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2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2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" customHeight="1" x14ac:dyDescent="0.25">
      <c r="A160" s="1"/>
      <c r="B160" s="281"/>
      <c r="C160" s="138" t="s">
        <v>70</v>
      </c>
      <c r="D160" s="91">
        <v>3754</v>
      </c>
      <c r="E160" s="301">
        <f>16.19342</f>
        <v>16.19342</v>
      </c>
      <c r="F160" s="301">
        <f>950.42208</f>
        <v>950.42208000000005</v>
      </c>
      <c r="G160" s="42">
        <f>D160-F160-F161</f>
        <v>1849.6768699999998</v>
      </c>
      <c r="H160" s="301">
        <f>797.49544</f>
        <v>797.49544000000003</v>
      </c>
      <c r="I160" s="1"/>
      <c r="J160" s="117"/>
    </row>
    <row r="161" spans="1:10" ht="14.1" customHeight="1" x14ac:dyDescent="0.25">
      <c r="A161" s="1"/>
      <c r="B161" s="281"/>
      <c r="C161" s="133" t="s">
        <v>50</v>
      </c>
      <c r="D161" s="175"/>
      <c r="E161" s="148">
        <f>0</f>
        <v>0</v>
      </c>
      <c r="F161" s="148">
        <f>953.90105</f>
        <v>953.90105000000005</v>
      </c>
      <c r="G161" s="219"/>
      <c r="H161" s="148">
        <f>1203.293</f>
        <v>1203.2929999999999</v>
      </c>
      <c r="I161" s="1"/>
      <c r="J161" s="117"/>
    </row>
    <row r="162" spans="1:10" ht="15.6" customHeight="1" x14ac:dyDescent="0.25">
      <c r="A162" s="1"/>
      <c r="B162" s="281"/>
      <c r="C162" s="163" t="s">
        <v>71</v>
      </c>
      <c r="D162" s="95">
        <v>200</v>
      </c>
      <c r="E162" s="166">
        <f>2.996</f>
        <v>2.996</v>
      </c>
      <c r="F162" s="166">
        <f>75.73405</f>
        <v>75.734049999999996</v>
      </c>
      <c r="G162" s="166">
        <f>D162-F162</f>
        <v>124.26595</v>
      </c>
      <c r="H162" s="166">
        <f>57.37861</f>
        <v>57.378610000000002</v>
      </c>
      <c r="I162" s="1"/>
      <c r="J162" s="117"/>
    </row>
    <row r="163" spans="1:10" ht="14.1" customHeight="1" x14ac:dyDescent="0.25">
      <c r="A163" s="65"/>
      <c r="B163" s="75"/>
      <c r="C163" s="174" t="s">
        <v>72</v>
      </c>
      <c r="D163" s="175">
        <v>5630</v>
      </c>
      <c r="E163" s="175">
        <f>E164+E165+E166</f>
        <v>5.0601000000000003</v>
      </c>
      <c r="F163" s="175">
        <f>F164+F165+F166</f>
        <v>5491.9813699999995</v>
      </c>
      <c r="G163" s="175">
        <f>D163-F163</f>
        <v>138.01863000000048</v>
      </c>
      <c r="H163" s="175">
        <f>H164+H165+H166</f>
        <v>4993.8265600000004</v>
      </c>
      <c r="I163" s="65"/>
      <c r="J163" s="111"/>
    </row>
    <row r="164" spans="1:10" ht="14.1" customHeight="1" x14ac:dyDescent="0.25">
      <c r="A164" s="192"/>
      <c r="B164" s="176"/>
      <c r="C164" s="177" t="s">
        <v>73</v>
      </c>
      <c r="D164" s="123"/>
      <c r="E164" s="123">
        <f>1.28958</f>
        <v>1.2895799999999999</v>
      </c>
      <c r="F164" s="123">
        <f>3458.06558</f>
        <v>3458.06558</v>
      </c>
      <c r="G164" s="123"/>
      <c r="H164" s="123">
        <f>2847.77003</f>
        <v>2847.7700300000001</v>
      </c>
      <c r="I164" s="181"/>
      <c r="J164" s="126"/>
    </row>
    <row r="165" spans="1:10" ht="14.1" customHeight="1" x14ac:dyDescent="0.25">
      <c r="A165" s="192"/>
      <c r="B165" s="176"/>
      <c r="C165" s="177" t="s">
        <v>74</v>
      </c>
      <c r="D165" s="123"/>
      <c r="E165" s="123">
        <f>2.81076</f>
        <v>2.8107600000000001</v>
      </c>
      <c r="F165" s="123">
        <f>1425.47219</f>
        <v>1425.47219</v>
      </c>
      <c r="G165" s="123"/>
      <c r="H165" s="123">
        <f>1422.78026</f>
        <v>1422.78026</v>
      </c>
      <c r="I165" s="181"/>
      <c r="J165" s="182"/>
    </row>
    <row r="166" spans="1:10" ht="14.1" customHeight="1" x14ac:dyDescent="0.25">
      <c r="A166" s="192"/>
      <c r="B166" s="176"/>
      <c r="C166" s="183" t="s">
        <v>75</v>
      </c>
      <c r="D166" s="186"/>
      <c r="E166" s="186">
        <f>0.95976</f>
        <v>0.95975999999999995</v>
      </c>
      <c r="F166" s="186">
        <f>608.4436</f>
        <v>608.44359999999995</v>
      </c>
      <c r="G166" s="186"/>
      <c r="H166" s="186">
        <f>723.27627</f>
        <v>723.27626999999995</v>
      </c>
      <c r="I166" s="181"/>
      <c r="J166" s="182"/>
    </row>
    <row r="167" spans="1:10" ht="14.1" customHeight="1" x14ac:dyDescent="0.2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8.70186</f>
        <v>8.7018599999999999</v>
      </c>
      <c r="G167" s="136">
        <f>D167-F167</f>
        <v>82.298140000000004</v>
      </c>
      <c r="H167" s="136">
        <f>5.3531</f>
        <v>5.3531000000000004</v>
      </c>
      <c r="I167" s="173"/>
      <c r="J167" s="271"/>
    </row>
    <row r="168" spans="1:10" ht="16.5" customHeight="1" x14ac:dyDescent="0.2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24.249519999999997</v>
      </c>
      <c r="F169" s="188">
        <f>F160+F161+F162+F163+F167+F168</f>
        <v>7480.7404099999994</v>
      </c>
      <c r="G169" s="188">
        <f>D169-F169</f>
        <v>2194.2595900000006</v>
      </c>
      <c r="H169" s="188">
        <f>H160+H161+H162+H163+H167+H168</f>
        <v>7057.3467100000007</v>
      </c>
      <c r="I169" s="159"/>
      <c r="J169" s="155"/>
    </row>
    <row r="170" spans="1:10" ht="42" customHeight="1" x14ac:dyDescent="0.25">
      <c r="A170" s="1"/>
      <c r="B170" s="193"/>
      <c r="C170" s="254" t="s">
        <v>147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2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2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81"/>
      <c r="C182" s="101" t="s">
        <v>148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81"/>
      <c r="C183" s="101" t="s">
        <v>149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81"/>
      <c r="C184" s="101" t="s">
        <v>150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2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25">
      <c r="A189" s="1"/>
      <c r="B189" s="281"/>
      <c r="C189" s="90" t="s">
        <v>4</v>
      </c>
      <c r="D189" s="124">
        <v>45561</v>
      </c>
      <c r="E189" s="124">
        <v>42740</v>
      </c>
      <c r="F189" s="124">
        <f>139.61325</f>
        <v>139.61324999999999</v>
      </c>
      <c r="G189" s="124">
        <f>39588.71213</f>
        <v>39588.71213</v>
      </c>
      <c r="H189" s="124">
        <f>E189-G189</f>
        <v>3151.2878700000001</v>
      </c>
      <c r="I189" s="124">
        <f>41572.14452</f>
        <v>41572.144520000002</v>
      </c>
      <c r="J189" s="117"/>
    </row>
    <row r="190" spans="1:10" ht="15" customHeight="1" x14ac:dyDescent="0.25">
      <c r="A190" s="1"/>
      <c r="B190" s="281"/>
      <c r="C190" s="90" t="s">
        <v>63</v>
      </c>
      <c r="D190" s="124">
        <v>100</v>
      </c>
      <c r="E190" s="124">
        <v>100</v>
      </c>
      <c r="F190" s="124">
        <f>0.0962</f>
        <v>9.6199999999999994E-2</v>
      </c>
      <c r="G190" s="124">
        <f>18.27626</f>
        <v>18.276260000000001</v>
      </c>
      <c r="H190" s="124">
        <f>E190-G190</f>
        <v>81.723739999999992</v>
      </c>
      <c r="I190" s="124">
        <f>31.44914</f>
        <v>31.44914</v>
      </c>
      <c r="J190" s="117"/>
    </row>
    <row r="191" spans="1:10" ht="15.75" customHeight="1" x14ac:dyDescent="0.2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2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139.70945</v>
      </c>
      <c r="G192" s="190">
        <f>SUM(G189:G191)</f>
        <v>39606.988389999999</v>
      </c>
      <c r="H192" s="190">
        <f>E192-G192</f>
        <v>3279.0116100000014</v>
      </c>
      <c r="I192" s="190">
        <f>SUM(I189:I191)</f>
        <v>41603.593659999999</v>
      </c>
      <c r="J192" s="117"/>
    </row>
    <row r="193" spans="1:10" ht="12" customHeight="1" x14ac:dyDescent="0.2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243" t="s">
        <v>151</v>
      </c>
      <c r="D194" s="104"/>
      <c r="E194" s="104"/>
      <c r="F194" s="207"/>
      <c r="G194" s="207"/>
      <c r="H194" s="207"/>
      <c r="I194" s="207"/>
      <c r="J194" s="214"/>
    </row>
    <row r="195" spans="1:10" ht="15.9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2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25">
      <c r="A202" s="1"/>
      <c r="B202" s="281"/>
      <c r="C202" s="90" t="s">
        <v>112</v>
      </c>
      <c r="D202" s="124">
        <v>3202</v>
      </c>
      <c r="E202" s="72">
        <f>E203+E204</f>
        <v>10.105690000000001</v>
      </c>
      <c r="F202" s="72">
        <f>F203+F204</f>
        <v>3055.0037700000007</v>
      </c>
      <c r="G202" s="72">
        <f>D202-F202</f>
        <v>146.99622999999929</v>
      </c>
      <c r="H202" s="72">
        <f>H203+H204</f>
        <v>3007.9256200000009</v>
      </c>
      <c r="I202" s="275"/>
      <c r="J202" s="117"/>
    </row>
    <row r="203" spans="1:10" ht="15" customHeight="1" x14ac:dyDescent="0.25">
      <c r="A203" s="1"/>
      <c r="B203" s="281"/>
      <c r="C203" s="172" t="s">
        <v>8</v>
      </c>
      <c r="D203" s="124"/>
      <c r="E203" s="72">
        <f>8.5568</f>
        <v>8.5568000000000008</v>
      </c>
      <c r="F203" s="72">
        <f>2463.14994</f>
        <v>2463.1499399999998</v>
      </c>
      <c r="G203" s="72"/>
      <c r="H203" s="72">
        <f>2427.15974</f>
        <v>2427.1597400000001</v>
      </c>
      <c r="I203" s="275"/>
      <c r="J203" s="117"/>
    </row>
    <row r="204" spans="1:10" ht="15" customHeight="1" x14ac:dyDescent="0.25">
      <c r="A204" s="1"/>
      <c r="B204" s="281"/>
      <c r="C204" s="172" t="s">
        <v>63</v>
      </c>
      <c r="D204" s="124"/>
      <c r="E204" s="124">
        <f>1.54889</f>
        <v>1.5488900000000001</v>
      </c>
      <c r="F204" s="124">
        <f>591.853830000001</f>
        <v>591.85383000000104</v>
      </c>
      <c r="G204" s="168"/>
      <c r="H204" s="124">
        <f>580.765880000001</f>
        <v>580.76588000000095</v>
      </c>
      <c r="I204" s="275"/>
      <c r="J204" s="117"/>
    </row>
    <row r="205" spans="1:10" ht="15" customHeight="1" x14ac:dyDescent="0.25">
      <c r="A205" s="1"/>
      <c r="B205" s="281"/>
      <c r="C205" s="90" t="s">
        <v>113</v>
      </c>
      <c r="D205" s="124">
        <v>3704</v>
      </c>
      <c r="E205" s="72">
        <f>32.31032</f>
        <v>32.310319999999997</v>
      </c>
      <c r="F205" s="72">
        <f>2994.67394</f>
        <v>2994.6739400000001</v>
      </c>
      <c r="G205" s="72">
        <f>D205-F205</f>
        <v>709.32605999999987</v>
      </c>
      <c r="H205" s="72">
        <f>4111.18669</f>
        <v>4111.1866900000005</v>
      </c>
      <c r="I205" s="275"/>
      <c r="J205" s="117"/>
    </row>
    <row r="206" spans="1:10" ht="16.5" customHeight="1" x14ac:dyDescent="0.25">
      <c r="A206" s="1"/>
      <c r="B206" s="281"/>
      <c r="C206" s="179" t="s">
        <v>82</v>
      </c>
      <c r="D206" s="190">
        <f>D205+D202</f>
        <v>6906</v>
      </c>
      <c r="E206" s="190">
        <f>SUM(E202,E205)</f>
        <v>42.41601</v>
      </c>
      <c r="F206" s="190">
        <f>SUM(F202,F205)</f>
        <v>6049.6777100000008</v>
      </c>
      <c r="G206" s="190">
        <f>D206-F206</f>
        <v>856.32228999999916</v>
      </c>
      <c r="H206" s="190">
        <f>SUM(H202,H205)</f>
        <v>7119.1123100000013</v>
      </c>
      <c r="I206" s="275"/>
      <c r="J206" s="117"/>
    </row>
    <row r="207" spans="1:10" ht="18.9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5.9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6" customHeight="1" x14ac:dyDescent="0.3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2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25">
      <c r="A215" s="1"/>
      <c r="B215" s="281"/>
      <c r="C215" s="90" t="s">
        <v>112</v>
      </c>
      <c r="D215" s="124">
        <v>5516</v>
      </c>
      <c r="E215" s="72">
        <f>E216+E217</f>
        <v>6.3429200000000003</v>
      </c>
      <c r="F215" s="72">
        <f>F216+F217</f>
        <v>5703.3049500000016</v>
      </c>
      <c r="G215" s="72">
        <f>D215-F215</f>
        <v>-187.30495000000155</v>
      </c>
      <c r="H215" s="72">
        <f>H216+H217</f>
        <v>3868.3496800000003</v>
      </c>
      <c r="I215" s="275"/>
      <c r="J215" s="117"/>
    </row>
    <row r="216" spans="1:10" ht="15" customHeight="1" x14ac:dyDescent="0.25">
      <c r="A216" s="1"/>
      <c r="B216" s="281"/>
      <c r="C216" s="172" t="s">
        <v>8</v>
      </c>
      <c r="D216" s="124"/>
      <c r="E216" s="72">
        <f>5.3718</f>
        <v>5.3718000000000004</v>
      </c>
      <c r="F216" s="72">
        <f>5345.20754</f>
        <v>5345.2075400000003</v>
      </c>
      <c r="G216" s="72"/>
      <c r="H216" s="72">
        <f>3561.57178</f>
        <v>3561.5717800000002</v>
      </c>
      <c r="I216" s="275"/>
      <c r="J216" s="117"/>
    </row>
    <row r="217" spans="1:10" ht="15" customHeight="1" x14ac:dyDescent="0.25">
      <c r="A217" s="1"/>
      <c r="B217" s="281"/>
      <c r="C217" s="172" t="s">
        <v>63</v>
      </c>
      <c r="D217" s="124"/>
      <c r="E217" s="124">
        <f>0.97112</f>
        <v>0.97111999999999998</v>
      </c>
      <c r="F217" s="124">
        <f>358.097410000001</f>
        <v>358.09741000000099</v>
      </c>
      <c r="G217" s="168"/>
      <c r="H217" s="124">
        <f>306.7779</f>
        <v>306.77789999999999</v>
      </c>
      <c r="I217" s="275"/>
      <c r="J217" s="117"/>
    </row>
    <row r="218" spans="1:10" ht="15" customHeight="1" x14ac:dyDescent="0.25">
      <c r="A218" s="1"/>
      <c r="B218" s="281"/>
      <c r="C218" s="90" t="s">
        <v>113</v>
      </c>
      <c r="D218" s="124">
        <v>3232</v>
      </c>
      <c r="E218" s="72">
        <f>22.45244</f>
        <v>22.452439999999999</v>
      </c>
      <c r="F218" s="72">
        <f>2514.43148999999</f>
        <v>2514.4314899999899</v>
      </c>
      <c r="G218" s="72">
        <f>D218-F218</f>
        <v>717.56851000001006</v>
      </c>
      <c r="H218" s="72">
        <f>1752.33499</f>
        <v>1752.3349900000001</v>
      </c>
      <c r="I218" s="275"/>
      <c r="J218" s="117"/>
    </row>
    <row r="219" spans="1:10" ht="16.5" customHeight="1" x14ac:dyDescent="0.25">
      <c r="A219" s="1"/>
      <c r="B219" s="281"/>
      <c r="C219" s="179" t="s">
        <v>82</v>
      </c>
      <c r="D219" s="190">
        <f>D218+D215</f>
        <v>8748</v>
      </c>
      <c r="E219" s="190">
        <f>SUM(E215,E218)</f>
        <v>28.795359999999999</v>
      </c>
      <c r="F219" s="190">
        <f>SUM(F215,F218)</f>
        <v>8217.7364399999915</v>
      </c>
      <c r="G219" s="190">
        <f>D219-F219</f>
        <v>530.26356000000851</v>
      </c>
      <c r="H219" s="190">
        <f>SUM(H215,H218)</f>
        <v>5620.6846700000006</v>
      </c>
      <c r="I219" s="275"/>
      <c r="J219" s="117"/>
    </row>
    <row r="220" spans="1:10" ht="18.9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21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6" customHeight="1" x14ac:dyDescent="0.2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" customHeight="1" x14ac:dyDescent="0.2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" customHeight="1" x14ac:dyDescent="0.2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2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2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" customHeight="1" x14ac:dyDescent="0.2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2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" customHeight="1" x14ac:dyDescent="0.25">
      <c r="A237" s="65"/>
      <c r="B237" s="75"/>
      <c r="C237" s="90" t="s">
        <v>88</v>
      </c>
      <c r="D237" s="124">
        <v>800</v>
      </c>
      <c r="E237" s="124">
        <f>0.04956</f>
        <v>4.956E-2</v>
      </c>
      <c r="F237" s="124">
        <f>109.34965</f>
        <v>109.34965</v>
      </c>
      <c r="G237" s="124">
        <f>D237-F237</f>
        <v>690.65035</v>
      </c>
      <c r="H237" s="124">
        <f>290.63122</f>
        <v>290.63121999999998</v>
      </c>
      <c r="I237" s="65"/>
      <c r="J237" s="271"/>
    </row>
    <row r="238" spans="1:10" ht="14.1" customHeight="1" x14ac:dyDescent="0.25">
      <c r="A238" s="1"/>
      <c r="B238" s="281"/>
      <c r="C238" s="90" t="s">
        <v>89</v>
      </c>
      <c r="D238" s="273">
        <v>706</v>
      </c>
      <c r="E238" s="124">
        <f>16.14496</f>
        <v>16.144960000000001</v>
      </c>
      <c r="F238" s="124">
        <f>380.623359999999</f>
        <v>380.62335999999902</v>
      </c>
      <c r="G238" s="124">
        <f>D238-F238</f>
        <v>325.37664000000098</v>
      </c>
      <c r="H238" s="124">
        <f>677.393749999999</f>
        <v>677.39374999999905</v>
      </c>
      <c r="I238" s="173"/>
      <c r="J238" s="111"/>
    </row>
    <row r="239" spans="1:10" ht="16.5" customHeight="1" x14ac:dyDescent="0.2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0.82114</f>
        <v>0.82113999999999998</v>
      </c>
      <c r="I239" s="65"/>
      <c r="J239" s="276"/>
    </row>
    <row r="240" spans="1:10" ht="18.75" customHeight="1" x14ac:dyDescent="0.25">
      <c r="A240" s="65"/>
      <c r="B240" s="277"/>
      <c r="C240" s="146" t="s">
        <v>90</v>
      </c>
      <c r="D240" s="249"/>
      <c r="E240" s="168">
        <f>0</f>
        <v>0</v>
      </c>
      <c r="F240" s="168">
        <f>0.66896</f>
        <v>0.66896</v>
      </c>
      <c r="G240" s="124">
        <f>D240-F240</f>
        <v>-0.66896</v>
      </c>
      <c r="H240" s="168">
        <f>2.37828</f>
        <v>2.3782800000000002</v>
      </c>
      <c r="I240" s="309"/>
      <c r="J240" s="117"/>
    </row>
    <row r="241" spans="1:10" ht="14.1" customHeight="1" x14ac:dyDescent="0.25">
      <c r="A241" s="1"/>
      <c r="B241" s="281"/>
      <c r="C241" s="179" t="s">
        <v>82</v>
      </c>
      <c r="D241" s="5">
        <f>D226</f>
        <v>1516</v>
      </c>
      <c r="E241" s="190">
        <f>SUM(E237:E240)</f>
        <v>16.194520000000001</v>
      </c>
      <c r="F241" s="190">
        <f>SUM(F237:F240)</f>
        <v>490.68696999999906</v>
      </c>
      <c r="G241" s="190">
        <f>D241-F241</f>
        <v>1025.3130300000009</v>
      </c>
      <c r="H241" s="190">
        <f>H237+H238+H239+H240</f>
        <v>971.22438999999906</v>
      </c>
      <c r="I241" s="1"/>
      <c r="J241" s="117"/>
    </row>
    <row r="242" spans="1:10" ht="14.1" customHeight="1" x14ac:dyDescent="0.2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5.95" customHeight="1" x14ac:dyDescent="0.25">
      <c r="A244" s="1"/>
      <c r="C244" s="145" t="s">
        <v>108</v>
      </c>
    </row>
    <row r="245" spans="1:10" ht="14.1" customHeight="1" x14ac:dyDescent="0.25">
      <c r="A245" s="1" t="s">
        <v>108</v>
      </c>
    </row>
    <row r="246" spans="1:10" ht="30" customHeight="1" x14ac:dyDescent="0.3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2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2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2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" customHeight="1" x14ac:dyDescent="0.2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35" customHeight="1" x14ac:dyDescent="0.2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35" customHeight="1" x14ac:dyDescent="0.2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2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2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" customHeight="1" x14ac:dyDescent="0.2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41.40549</v>
      </c>
      <c r="G262" s="280">
        <f t="shared" si="15"/>
        <v>3497.0339800000002</v>
      </c>
      <c r="H262" s="280">
        <f>H266+H265+H264+H263</f>
        <v>15342.96602</v>
      </c>
      <c r="I262" s="280">
        <f t="shared" si="15"/>
        <v>7337.1821399999999</v>
      </c>
      <c r="J262" s="127"/>
    </row>
    <row r="263" spans="1:10" ht="14.1" customHeight="1" x14ac:dyDescent="0.25">
      <c r="A263" s="223"/>
      <c r="B263" s="69"/>
      <c r="C263" s="282" t="s">
        <v>98</v>
      </c>
      <c r="D263" s="283">
        <v>7457</v>
      </c>
      <c r="E263" s="283">
        <v>10175</v>
      </c>
      <c r="F263" s="284">
        <f>0</f>
        <v>0</v>
      </c>
      <c r="G263" s="284">
        <f>904.79294</f>
        <v>904.79294000000004</v>
      </c>
      <c r="H263" s="284">
        <f t="shared" ref="H263:H268" si="16">E263-G263</f>
        <v>9270.2070600000006</v>
      </c>
      <c r="I263" s="284">
        <f>2664.16774</f>
        <v>2664.1677399999999</v>
      </c>
      <c r="J263" s="127"/>
    </row>
    <row r="264" spans="1:10" ht="14.1" customHeight="1" x14ac:dyDescent="0.2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210.90555</f>
        <v>210.90555000000001</v>
      </c>
      <c r="H264" s="284">
        <f t="shared" si="16"/>
        <v>2438.0944500000001</v>
      </c>
      <c r="I264" s="284">
        <f>701.78751</f>
        <v>701.78751</v>
      </c>
      <c r="J264" s="127"/>
    </row>
    <row r="265" spans="1:10" ht="14.1" customHeight="1" x14ac:dyDescent="0.25">
      <c r="A265" s="223"/>
      <c r="B265" s="69"/>
      <c r="C265" s="286" t="s">
        <v>95</v>
      </c>
      <c r="D265" s="283">
        <v>1338</v>
      </c>
      <c r="E265" s="283">
        <v>1407</v>
      </c>
      <c r="F265" s="284">
        <f>16.44349</f>
        <v>16.443490000000001</v>
      </c>
      <c r="G265" s="284">
        <f>972.71074</f>
        <v>972.71073999999999</v>
      </c>
      <c r="H265" s="284">
        <f t="shared" si="16"/>
        <v>434.28926000000001</v>
      </c>
      <c r="I265" s="284">
        <f>1205.5215</f>
        <v>1205.5215000000001</v>
      </c>
      <c r="J265" s="127"/>
    </row>
    <row r="266" spans="1:10" ht="14.1" customHeight="1" x14ac:dyDescent="0.25">
      <c r="A266" s="223"/>
      <c r="B266" s="69"/>
      <c r="C266" s="288" t="s">
        <v>118</v>
      </c>
      <c r="D266" s="289">
        <v>4479</v>
      </c>
      <c r="E266" s="289">
        <v>4609</v>
      </c>
      <c r="F266" s="284">
        <f>24.962</f>
        <v>24.962</v>
      </c>
      <c r="G266" s="284">
        <f>1408.62475</f>
        <v>1408.6247499999999</v>
      </c>
      <c r="H266" s="284">
        <f t="shared" si="16"/>
        <v>3200.3752500000001</v>
      </c>
      <c r="I266" s="284">
        <f>2765.70539</f>
        <v>2765.7053900000001</v>
      </c>
      <c r="J266" s="127"/>
    </row>
    <row r="267" spans="1:10" ht="14.1" customHeight="1" x14ac:dyDescent="0.25">
      <c r="A267" s="223"/>
      <c r="B267" s="69"/>
      <c r="C267" s="291" t="s">
        <v>56</v>
      </c>
      <c r="D267" s="292">
        <v>5500</v>
      </c>
      <c r="E267" s="292">
        <v>5500</v>
      </c>
      <c r="F267" s="294">
        <f>0.07</f>
        <v>7.0000000000000007E-2</v>
      </c>
      <c r="G267" s="294">
        <f>1590.44159</f>
        <v>1590.4415899999999</v>
      </c>
      <c r="H267" s="294">
        <f t="shared" si="16"/>
        <v>3909.5584100000001</v>
      </c>
      <c r="I267" s="294">
        <f>4095.32324</f>
        <v>4095.3232400000002</v>
      </c>
      <c r="J267" s="127"/>
    </row>
    <row r="268" spans="1:10" ht="14.1" customHeight="1" x14ac:dyDescent="0.2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43.885619999999996</v>
      </c>
      <c r="G268" s="295">
        <f>G270+G269</f>
        <v>1382.8568599999999</v>
      </c>
      <c r="H268" s="295">
        <f t="shared" si="16"/>
        <v>6617.1431400000001</v>
      </c>
      <c r="I268" s="295">
        <f>I270+I269</f>
        <v>1568.9063099999998</v>
      </c>
      <c r="J268" s="127"/>
    </row>
    <row r="269" spans="1:10" ht="14.1" customHeight="1" x14ac:dyDescent="0.25">
      <c r="A269" s="223"/>
      <c r="B269" s="69"/>
      <c r="C269" s="286" t="s">
        <v>50</v>
      </c>
      <c r="D269" s="297"/>
      <c r="E269" s="283"/>
      <c r="F269" s="284">
        <f>11.10375</f>
        <v>11.10375</v>
      </c>
      <c r="G269" s="284">
        <f>351.03397</f>
        <v>351.03397000000001</v>
      </c>
      <c r="H269" s="284"/>
      <c r="I269" s="284">
        <f>480.38674</f>
        <v>480.38673999999997</v>
      </c>
      <c r="J269" s="127"/>
    </row>
    <row r="270" spans="1:10" ht="14.1" customHeight="1" x14ac:dyDescent="0.25">
      <c r="A270" s="223"/>
      <c r="B270" s="69"/>
      <c r="C270" s="299" t="s">
        <v>99</v>
      </c>
      <c r="D270" s="300"/>
      <c r="E270" s="302"/>
      <c r="F270" s="303">
        <f>32.78187</f>
        <v>32.781869999999998</v>
      </c>
      <c r="G270" s="303">
        <f>1031.82289</f>
        <v>1031.8228899999999</v>
      </c>
      <c r="H270" s="303"/>
      <c r="I270" s="303">
        <f>1088.51957</f>
        <v>1088.5195699999999</v>
      </c>
      <c r="J270" s="127"/>
    </row>
    <row r="271" spans="1:10" ht="14.1" customHeight="1" x14ac:dyDescent="0.2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0.11492</f>
        <v>0.11491999999999999</v>
      </c>
      <c r="H271" s="294">
        <f>E271-G271</f>
        <v>12.88508</v>
      </c>
      <c r="I271" s="294">
        <f>0.5685</f>
        <v>0.56850000000000001</v>
      </c>
      <c r="J271" s="127"/>
    </row>
    <row r="272" spans="1:10" ht="14.1" customHeight="1" x14ac:dyDescent="0.25">
      <c r="A272" s="223"/>
      <c r="B272" s="69"/>
      <c r="C272" s="304" t="s">
        <v>100</v>
      </c>
      <c r="D272" s="307"/>
      <c r="E272" s="308"/>
      <c r="F272" s="294">
        <f>3.63768</f>
        <v>3.63768</v>
      </c>
      <c r="G272" s="294">
        <f>42.43036</f>
        <v>42.43036</v>
      </c>
      <c r="H272" s="294">
        <f>E272-G272</f>
        <v>-42.43036</v>
      </c>
      <c r="I272" s="294">
        <f>117.23568</f>
        <v>117.23568</v>
      </c>
      <c r="J272" s="127"/>
    </row>
    <row r="273" spans="1:10" ht="19.5" customHeight="1" x14ac:dyDescent="0.2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88.99879</v>
      </c>
      <c r="G273" s="312">
        <f t="shared" si="17"/>
        <v>6512.8777100000007</v>
      </c>
      <c r="H273" s="312">
        <f>H262+H267+H268+H271+H272</f>
        <v>25840.122290000003</v>
      </c>
      <c r="I273" s="312">
        <f t="shared" si="17"/>
        <v>13119.21587</v>
      </c>
      <c r="J273" s="127"/>
    </row>
    <row r="274" spans="1:10" ht="14.1" customHeight="1" x14ac:dyDescent="0.2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152</v>
      </c>
      <c r="D275" s="314"/>
      <c r="E275" s="314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153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376.5" customHeight="1" x14ac:dyDescent="0.2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108</v>
      </c>
      <c r="D279" s="152"/>
    </row>
    <row r="280" spans="1:10" ht="14.1" customHeight="1" x14ac:dyDescent="0.2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" customHeight="1" x14ac:dyDescent="0.2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5" t="s">
        <v>6</v>
      </c>
      <c r="D284" s="296">
        <v>2715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5" t="s">
        <v>86</v>
      </c>
      <c r="D285" s="46">
        <v>1774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4612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2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" customHeight="1" x14ac:dyDescent="0.25">
      <c r="A294" s="223"/>
      <c r="B294" s="69"/>
      <c r="C294" s="291" t="s">
        <v>105</v>
      </c>
      <c r="D294" s="197">
        <v>905</v>
      </c>
      <c r="E294" s="25">
        <f>SUM(E295:E296)</f>
        <v>61.179629999999996</v>
      </c>
      <c r="F294" s="25">
        <f>SUM(F295:F296)</f>
        <v>416.86059999999998</v>
      </c>
      <c r="G294" s="82">
        <f>D294-F294</f>
        <v>488.13940000000002</v>
      </c>
      <c r="H294" s="25">
        <f>SUM(H295:H296)</f>
        <v>404.48084999999998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55.45473</f>
        <v>55.454729999999998</v>
      </c>
      <c r="F295" s="198">
        <f>366.40706</f>
        <v>366.40706</v>
      </c>
      <c r="G295" s="199"/>
      <c r="H295" s="198">
        <f>313.16715</f>
        <v>313.16714999999999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5.7249</f>
        <v>5.7248999999999999</v>
      </c>
      <c r="F296" s="202">
        <f>50.45354</f>
        <v>50.453539999999997</v>
      </c>
      <c r="G296" s="203"/>
      <c r="H296" s="202">
        <f>91.3137</f>
        <v>91.313699999999997</v>
      </c>
      <c r="I296" s="145"/>
      <c r="J296" s="127"/>
    </row>
    <row r="297" spans="1:10" ht="14.1" customHeight="1" x14ac:dyDescent="0.25">
      <c r="A297" s="223"/>
      <c r="B297" s="69"/>
      <c r="C297" s="291" t="s">
        <v>106</v>
      </c>
      <c r="D297" s="9">
        <v>905</v>
      </c>
      <c r="E297" s="25">
        <f>SUM(E298:E299)</f>
        <v>0</v>
      </c>
      <c r="F297" s="25">
        <f>SUM(F298:F299)</f>
        <v>0</v>
      </c>
      <c r="G297" s="82">
        <f>D297-F297</f>
        <v>905</v>
      </c>
      <c r="H297" s="25">
        <f>SUM(H298:H299)</f>
        <v>0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8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" customHeight="1" x14ac:dyDescent="0.25">
      <c r="A300" s="223"/>
      <c r="B300" s="69"/>
      <c r="C300" s="291" t="s">
        <v>107</v>
      </c>
      <c r="D300" s="9">
        <v>905</v>
      </c>
      <c r="E300" s="34">
        <f>SUM(E301:E302)</f>
        <v>0</v>
      </c>
      <c r="F300" s="34">
        <f>SUM(F301:F302)</f>
        <v>0</v>
      </c>
      <c r="G300" s="82">
        <f>D300-F300</f>
        <v>905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8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10" t="s">
        <v>82</v>
      </c>
      <c r="D304" s="38">
        <f>D294+D297+D300</f>
        <v>2715</v>
      </c>
      <c r="E304" s="39">
        <f>E294+E297+E300+E303</f>
        <v>61.179629999999996</v>
      </c>
      <c r="F304" s="39">
        <f>F294+F297+F300+F303</f>
        <v>416.86059999999998</v>
      </c>
      <c r="G304" s="40">
        <f>D304-F304</f>
        <v>2298.1394</v>
      </c>
      <c r="H304" s="39">
        <f>H294+H297+H300+H303</f>
        <v>404.48084999999998</v>
      </c>
      <c r="I304" s="26"/>
      <c r="J304" s="127"/>
    </row>
    <row r="305" spans="1:10" ht="42" customHeight="1" x14ac:dyDescent="0.2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108</v>
      </c>
      <c r="D307" s="152"/>
    </row>
    <row r="308" spans="1:10" ht="15.6" customHeight="1" x14ac:dyDescent="0.2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8.95" customHeight="1" x14ac:dyDescent="0.25">
      <c r="A309" s="223"/>
      <c r="B309" s="69"/>
      <c r="C309" s="233" t="s">
        <v>123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124</v>
      </c>
      <c r="E311" s="212" t="s">
        <v>125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126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8.95" customHeight="1" x14ac:dyDescent="0.2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0" t="s">
        <v>154</v>
      </c>
      <c r="D316" s="320"/>
      <c r="E316" s="320"/>
      <c r="F316" s="320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2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600000000000001" customHeight="1" x14ac:dyDescent="0.25">
      <c r="A322" s="223"/>
      <c r="B322" s="69"/>
      <c r="C322" s="236" t="s">
        <v>132</v>
      </c>
      <c r="D322" s="237">
        <v>238</v>
      </c>
      <c r="E322" s="29">
        <f>1.53356</f>
        <v>1.53356</v>
      </c>
      <c r="F322" s="29">
        <f>206.312540000001</f>
        <v>206.31254000000101</v>
      </c>
      <c r="G322" s="238">
        <f>D322-F322</f>
        <v>31.687459999998993</v>
      </c>
      <c r="H322" s="29">
        <f>606.19366</f>
        <v>606.19366000000002</v>
      </c>
      <c r="I322" s="242"/>
      <c r="J322" s="127"/>
    </row>
    <row r="323" spans="1:10" ht="17.45" customHeight="1" x14ac:dyDescent="0.25">
      <c r="A323" s="223"/>
      <c r="B323" s="69"/>
      <c r="C323" s="239" t="s">
        <v>133</v>
      </c>
      <c r="D323" s="240">
        <v>21237</v>
      </c>
      <c r="E323" s="29">
        <f>22.80127</f>
        <v>22.801269999999999</v>
      </c>
      <c r="F323" s="29">
        <f>792.992600000002</f>
        <v>792.99260000000197</v>
      </c>
      <c r="G323" s="241">
        <f>D323-F323</f>
        <v>20444.007399999999</v>
      </c>
      <c r="H323" s="29">
        <f>904.764860000001</f>
        <v>904.76486000000102</v>
      </c>
      <c r="I323" s="26"/>
      <c r="J323" s="127"/>
    </row>
    <row r="324" spans="1:10" ht="17.100000000000001" customHeight="1" x14ac:dyDescent="0.25">
      <c r="A324" s="223"/>
      <c r="B324" s="69"/>
      <c r="C324" s="310" t="s">
        <v>82</v>
      </c>
      <c r="D324" s="229">
        <f>D322+D323</f>
        <v>21475</v>
      </c>
      <c r="E324" s="39">
        <f>E323+E322</f>
        <v>24.33483</v>
      </c>
      <c r="F324" s="39">
        <f>F323+F322</f>
        <v>999.30514000000301</v>
      </c>
      <c r="G324" s="39">
        <f>G323+G322</f>
        <v>20475.694859999996</v>
      </c>
      <c r="H324" s="39">
        <f>H323+H322</f>
        <v>1510.958520000001</v>
      </c>
      <c r="I324" s="26"/>
      <c r="J324" s="127"/>
    </row>
    <row r="325" spans="1:10" ht="22.5" customHeight="1" x14ac:dyDescent="0.25">
      <c r="A325" s="223"/>
      <c r="B325" s="69"/>
      <c r="C325" s="318" t="s">
        <v>155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108</v>
      </c>
      <c r="D328" s="152"/>
    </row>
    <row r="329" spans="1:10" ht="0" hidden="1" customHeight="1" x14ac:dyDescent="0.2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25">
      <c r="A330" s="223"/>
      <c r="B330" s="69"/>
      <c r="C330" s="233" t="s">
        <v>123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124</v>
      </c>
      <c r="E332" s="212" t="s">
        <v>125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126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17" t="s">
        <v>127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25">
      <c r="A342" s="223"/>
      <c r="B342" s="193"/>
      <c r="C342" s="19" t="s">
        <v>103</v>
      </c>
      <c r="D342" s="19" t="s">
        <v>1</v>
      </c>
      <c r="E342" s="250" t="s">
        <v>128</v>
      </c>
      <c r="F342" s="250" t="s">
        <v>129</v>
      </c>
      <c r="G342" s="250" t="s">
        <v>130</v>
      </c>
      <c r="H342" s="224" t="s">
        <v>131</v>
      </c>
      <c r="I342" s="251"/>
      <c r="J342" s="13"/>
    </row>
    <row r="343" spans="1:10" ht="0" hidden="1" customHeight="1" x14ac:dyDescent="0.25">
      <c r="A343" s="223"/>
      <c r="B343" s="69"/>
      <c r="C343" s="225" t="s">
        <v>132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91" t="s">
        <v>133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18" t="s">
        <v>134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31&amp;R03.08.2026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2026-08-05T07:22:09Z</dcterms:modified>
</cp:coreProperties>
</file>