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26A7C3C0-BCFD-41B7-A183-FC4C8C24E7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2" i="1" l="1"/>
  <c r="H191" i="1"/>
  <c r="H190" i="1"/>
  <c r="H189" i="1"/>
  <c r="H94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37" i="1" l="1"/>
  <c r="H38" i="1"/>
  <c r="H40" i="1"/>
  <c r="H41" i="1"/>
  <c r="H42" i="1"/>
  <c r="H39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G42" i="1"/>
  <c r="E83" i="1"/>
  <c r="E82" i="1" s="1"/>
  <c r="E79" i="1"/>
  <c r="G119" i="1" l="1"/>
  <c r="H119" i="1" s="1"/>
  <c r="G125" i="1"/>
  <c r="G124" i="1"/>
  <c r="H124" i="1" s="1"/>
  <c r="H345" i="1"/>
  <c r="F345" i="1"/>
  <c r="E345" i="1"/>
  <c r="D345" i="1"/>
  <c r="G344" i="1"/>
  <c r="G343" i="1"/>
  <c r="G345" i="1" s="1"/>
  <c r="E336" i="1"/>
  <c r="D324" i="1"/>
  <c r="H323" i="1"/>
  <c r="F323" i="1"/>
  <c r="F324" i="1" s="1"/>
  <c r="E323" i="1"/>
  <c r="E324" i="1" s="1"/>
  <c r="H322" i="1"/>
  <c r="H324" i="1" s="1"/>
  <c r="F322" i="1"/>
  <c r="G322" i="1" s="1"/>
  <c r="E322" i="1"/>
  <c r="E315" i="1"/>
  <c r="D315" i="1"/>
  <c r="D304" i="1"/>
  <c r="H303" i="1"/>
  <c r="F303" i="1"/>
  <c r="G303" i="1" s="1"/>
  <c r="E303" i="1"/>
  <c r="H302" i="1"/>
  <c r="F302" i="1"/>
  <c r="E302" i="1"/>
  <c r="H301" i="1"/>
  <c r="H300" i="1" s="1"/>
  <c r="F301" i="1"/>
  <c r="E301" i="1"/>
  <c r="F300" i="1"/>
  <c r="G300" i="1" s="1"/>
  <c r="E300" i="1"/>
  <c r="H299" i="1"/>
  <c r="F299" i="1"/>
  <c r="F297" i="1" s="1"/>
  <c r="G297" i="1" s="1"/>
  <c r="E299" i="1"/>
  <c r="H298" i="1"/>
  <c r="F298" i="1"/>
  <c r="E298" i="1"/>
  <c r="E297" i="1" s="1"/>
  <c r="H297" i="1"/>
  <c r="H296" i="1"/>
  <c r="F296" i="1"/>
  <c r="E296" i="1"/>
  <c r="H295" i="1"/>
  <c r="H294" i="1" s="1"/>
  <c r="F295" i="1"/>
  <c r="F294" i="1" s="1"/>
  <c r="E295" i="1"/>
  <c r="E294" i="1" s="1"/>
  <c r="E304" i="1" s="1"/>
  <c r="I272" i="1"/>
  <c r="G272" i="1"/>
  <c r="H272" i="1" s="1"/>
  <c r="F272" i="1"/>
  <c r="I271" i="1"/>
  <c r="H271" i="1"/>
  <c r="G271" i="1"/>
  <c r="F271" i="1"/>
  <c r="I270" i="1"/>
  <c r="G270" i="1"/>
  <c r="G268" i="1" s="1"/>
  <c r="H268" i="1" s="1"/>
  <c r="F270" i="1"/>
  <c r="I269" i="1"/>
  <c r="I268" i="1" s="1"/>
  <c r="G269" i="1"/>
  <c r="F269" i="1"/>
  <c r="F268" i="1" s="1"/>
  <c r="I267" i="1"/>
  <c r="G267" i="1"/>
  <c r="H267" i="1" s="1"/>
  <c r="F267" i="1"/>
  <c r="I266" i="1"/>
  <c r="H266" i="1"/>
  <c r="G266" i="1"/>
  <c r="F266" i="1"/>
  <c r="I265" i="1"/>
  <c r="G265" i="1"/>
  <c r="G262" i="1" s="1"/>
  <c r="G273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I262" i="1"/>
  <c r="I273" i="1" s="1"/>
  <c r="E262" i="1"/>
  <c r="E273" i="1" s="1"/>
  <c r="D262" i="1"/>
  <c r="D273" i="1" s="1"/>
  <c r="H254" i="1"/>
  <c r="F254" i="1"/>
  <c r="D241" i="1"/>
  <c r="H240" i="1"/>
  <c r="G240" i="1"/>
  <c r="F240" i="1"/>
  <c r="E240" i="1"/>
  <c r="H239" i="1"/>
  <c r="F239" i="1"/>
  <c r="G239" i="1" s="1"/>
  <c r="E239" i="1"/>
  <c r="H238" i="1"/>
  <c r="G238" i="1"/>
  <c r="F238" i="1"/>
  <c r="E238" i="1"/>
  <c r="H237" i="1"/>
  <c r="H241" i="1" s="1"/>
  <c r="F237" i="1"/>
  <c r="F241" i="1" s="1"/>
  <c r="G241" i="1" s="1"/>
  <c r="E237" i="1"/>
  <c r="E241" i="1" s="1"/>
  <c r="D219" i="1"/>
  <c r="H218" i="1"/>
  <c r="G218" i="1"/>
  <c r="F218" i="1"/>
  <c r="E218" i="1"/>
  <c r="H217" i="1"/>
  <c r="F217" i="1"/>
  <c r="E217" i="1"/>
  <c r="H216" i="1"/>
  <c r="H215" i="1" s="1"/>
  <c r="H219" i="1" s="1"/>
  <c r="F216" i="1"/>
  <c r="E216" i="1"/>
  <c r="F215" i="1"/>
  <c r="F219" i="1" s="1"/>
  <c r="G219" i="1" s="1"/>
  <c r="E215" i="1"/>
  <c r="E219" i="1" s="1"/>
  <c r="D206" i="1"/>
  <c r="H205" i="1"/>
  <c r="G205" i="1"/>
  <c r="F205" i="1"/>
  <c r="E205" i="1"/>
  <c r="H204" i="1"/>
  <c r="F204" i="1"/>
  <c r="E204" i="1"/>
  <c r="H203" i="1"/>
  <c r="F203" i="1"/>
  <c r="F202" i="1" s="1"/>
  <c r="E203" i="1"/>
  <c r="E202" i="1" s="1"/>
  <c r="E206" i="1" s="1"/>
  <c r="H202" i="1"/>
  <c r="H206" i="1" s="1"/>
  <c r="G192" i="1"/>
  <c r="F192" i="1"/>
  <c r="E192" i="1"/>
  <c r="D192" i="1"/>
  <c r="I191" i="1"/>
  <c r="G191" i="1"/>
  <c r="F191" i="1"/>
  <c r="I190" i="1"/>
  <c r="G190" i="1"/>
  <c r="F190" i="1"/>
  <c r="I189" i="1"/>
  <c r="I192" i="1" s="1"/>
  <c r="G189" i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H163" i="1" s="1"/>
  <c r="F165" i="1"/>
  <c r="F163" i="1" s="1"/>
  <c r="G163" i="1" s="1"/>
  <c r="E165" i="1"/>
  <c r="H164" i="1"/>
  <c r="F164" i="1"/>
  <c r="E164" i="1"/>
  <c r="E163" i="1"/>
  <c r="H162" i="1"/>
  <c r="F162" i="1"/>
  <c r="G162" i="1" s="1"/>
  <c r="E162" i="1"/>
  <c r="H161" i="1"/>
  <c r="F161" i="1"/>
  <c r="E161" i="1"/>
  <c r="H160" i="1"/>
  <c r="G160" i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I126" i="1" s="1"/>
  <c r="I120" i="1" s="1"/>
  <c r="H127" i="1"/>
  <c r="G127" i="1"/>
  <c r="G126" i="1" s="1"/>
  <c r="F127" i="1"/>
  <c r="F126" i="1" s="1"/>
  <c r="E126" i="1"/>
  <c r="E120" i="1" s="1"/>
  <c r="E137" i="1" s="1"/>
  <c r="D126" i="1"/>
  <c r="I125" i="1"/>
  <c r="H125" i="1"/>
  <c r="F125" i="1"/>
  <c r="I124" i="1"/>
  <c r="F124" i="1"/>
  <c r="I123" i="1"/>
  <c r="G123" i="1"/>
  <c r="H123" i="1" s="1"/>
  <c r="F123" i="1"/>
  <c r="I122" i="1"/>
  <c r="G122" i="1"/>
  <c r="G121" i="1" s="1"/>
  <c r="F122" i="1"/>
  <c r="F121" i="1" s="1"/>
  <c r="F120" i="1" s="1"/>
  <c r="I121" i="1"/>
  <c r="E121" i="1"/>
  <c r="D121" i="1"/>
  <c r="D120" i="1" s="1"/>
  <c r="I119" i="1"/>
  <c r="F119" i="1"/>
  <c r="I118" i="1"/>
  <c r="G118" i="1"/>
  <c r="H118" i="1" s="1"/>
  <c r="F118" i="1"/>
  <c r="I117" i="1"/>
  <c r="G117" i="1"/>
  <c r="H117" i="1" s="1"/>
  <c r="F117" i="1"/>
  <c r="F115" i="1" s="1"/>
  <c r="F137" i="1" s="1"/>
  <c r="I116" i="1"/>
  <c r="I115" i="1" s="1"/>
  <c r="I137" i="1" s="1"/>
  <c r="G116" i="1"/>
  <c r="H116" i="1" s="1"/>
  <c r="H115" i="1" s="1"/>
  <c r="F116" i="1"/>
  <c r="G115" i="1"/>
  <c r="E115" i="1"/>
  <c r="D115" i="1"/>
  <c r="D137" i="1" s="1"/>
  <c r="C113" i="1"/>
  <c r="I93" i="1"/>
  <c r="H93" i="1"/>
  <c r="G93" i="1"/>
  <c r="F93" i="1"/>
  <c r="I92" i="1"/>
  <c r="G92" i="1"/>
  <c r="F92" i="1"/>
  <c r="I91" i="1"/>
  <c r="G91" i="1"/>
  <c r="F91" i="1"/>
  <c r="I90" i="1"/>
  <c r="G90" i="1"/>
  <c r="F90" i="1"/>
  <c r="I89" i="1"/>
  <c r="G89" i="1"/>
  <c r="F89" i="1"/>
  <c r="I88" i="1"/>
  <c r="G88" i="1"/>
  <c r="F88" i="1"/>
  <c r="I87" i="1"/>
  <c r="G87" i="1"/>
  <c r="F87" i="1"/>
  <c r="I86" i="1"/>
  <c r="G86" i="1"/>
  <c r="F86" i="1"/>
  <c r="I85" i="1"/>
  <c r="G85" i="1"/>
  <c r="F85" i="1"/>
  <c r="I84" i="1"/>
  <c r="G84" i="1"/>
  <c r="G83" i="1" s="1"/>
  <c r="G82" i="1" s="1"/>
  <c r="F84" i="1"/>
  <c r="F83" i="1" s="1"/>
  <c r="F82" i="1" s="1"/>
  <c r="F94" i="1" s="1"/>
  <c r="I83" i="1"/>
  <c r="E94" i="1"/>
  <c r="D83" i="1"/>
  <c r="D82" i="1" s="1"/>
  <c r="I82" i="1"/>
  <c r="I81" i="1"/>
  <c r="G81" i="1"/>
  <c r="G79" i="1" s="1"/>
  <c r="F81" i="1"/>
  <c r="I80" i="1"/>
  <c r="I79" i="1" s="1"/>
  <c r="G80" i="1"/>
  <c r="F80" i="1"/>
  <c r="F79" i="1"/>
  <c r="D79" i="1"/>
  <c r="C76" i="1"/>
  <c r="H72" i="1"/>
  <c r="F72" i="1"/>
  <c r="D72" i="1"/>
  <c r="H58" i="1"/>
  <c r="H57" i="1"/>
  <c r="I52" i="1"/>
  <c r="I31" i="1" s="1"/>
  <c r="I26" i="1" s="1"/>
  <c r="H52" i="1"/>
  <c r="G52" i="1"/>
  <c r="F52" i="1"/>
  <c r="I41" i="1"/>
  <c r="G41" i="1"/>
  <c r="F41" i="1"/>
  <c r="I40" i="1"/>
  <c r="G40" i="1"/>
  <c r="F40" i="1"/>
  <c r="I39" i="1"/>
  <c r="G39" i="1"/>
  <c r="F39" i="1"/>
  <c r="I38" i="1"/>
  <c r="G38" i="1"/>
  <c r="F38" i="1"/>
  <c r="I37" i="1"/>
  <c r="G37" i="1"/>
  <c r="F37" i="1"/>
  <c r="I36" i="1"/>
  <c r="G36" i="1"/>
  <c r="F36" i="1"/>
  <c r="I35" i="1"/>
  <c r="G35" i="1"/>
  <c r="F35" i="1"/>
  <c r="I34" i="1"/>
  <c r="I33" i="1" s="1"/>
  <c r="I25" i="1" s="1"/>
  <c r="G34" i="1"/>
  <c r="G33" i="1" s="1"/>
  <c r="G25" i="1" s="1"/>
  <c r="F34" i="1"/>
  <c r="F33" i="1" s="1"/>
  <c r="D33" i="1"/>
  <c r="I32" i="1"/>
  <c r="G32" i="1"/>
  <c r="F32" i="1"/>
  <c r="G31" i="1"/>
  <c r="F31" i="1"/>
  <c r="I30" i="1"/>
  <c r="G30" i="1"/>
  <c r="F30" i="1"/>
  <c r="I29" i="1"/>
  <c r="G29" i="1"/>
  <c r="F29" i="1"/>
  <c r="I28" i="1"/>
  <c r="G28" i="1"/>
  <c r="F28" i="1"/>
  <c r="I27" i="1"/>
  <c r="G27" i="1"/>
  <c r="G26" i="1" s="1"/>
  <c r="F27" i="1"/>
  <c r="F26" i="1" s="1"/>
  <c r="D26" i="1"/>
  <c r="D25" i="1" s="1"/>
  <c r="I24" i="1"/>
  <c r="G24" i="1"/>
  <c r="G22" i="1" s="1"/>
  <c r="F24" i="1"/>
  <c r="I23" i="1"/>
  <c r="I22" i="1" s="1"/>
  <c r="G23" i="1"/>
  <c r="F23" i="1"/>
  <c r="F22" i="1"/>
  <c r="E42" i="1"/>
  <c r="D22" i="1"/>
  <c r="D42" i="1" s="1"/>
  <c r="H16" i="1"/>
  <c r="F16" i="1"/>
  <c r="D16" i="1"/>
  <c r="I94" i="1" l="1"/>
  <c r="I42" i="1"/>
  <c r="D94" i="1"/>
  <c r="G94" i="1"/>
  <c r="F169" i="1"/>
  <c r="G169" i="1" s="1"/>
  <c r="H304" i="1"/>
  <c r="H169" i="1"/>
  <c r="F304" i="1"/>
  <c r="G304" i="1" s="1"/>
  <c r="G294" i="1"/>
  <c r="G137" i="1"/>
  <c r="H126" i="1"/>
  <c r="G202" i="1"/>
  <c r="F206" i="1"/>
  <c r="G206" i="1" s="1"/>
  <c r="F25" i="1"/>
  <c r="F42" i="1" s="1"/>
  <c r="G120" i="1"/>
  <c r="G215" i="1"/>
  <c r="H265" i="1"/>
  <c r="H262" i="1" s="1"/>
  <c r="H273" i="1" s="1"/>
  <c r="H122" i="1"/>
  <c r="H121" i="1" s="1"/>
  <c r="H120" i="1" s="1"/>
  <c r="H137" i="1" s="1"/>
  <c r="G323" i="1"/>
  <c r="G324" i="1" s="1"/>
  <c r="G237" i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<sst xmlns="http://schemas.openxmlformats.org/spreadsheetml/2006/main" count="391" uniqueCount="166">
  <si>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</si>
  <si>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</si>
  <si>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</si>
  <si>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</si>
  <si>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</si>
  <si>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</si>
  <si>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</si>
  <si>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</si>
  <si>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</si>
  <si>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</si>
  <si>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</si>
  <si>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</si>
  <si>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</si>
  <si>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</si>
  <si>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</si>
  <si>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</si>
  <si>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</si>
  <si>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</si>
  <si>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</si>
  <si>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</si>
  <si>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</si>
  <si>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</si>
  <si>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</si>
  <si>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</si>
  <si>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</si>
  <si>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</si>
  <si>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</si>
  <si>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</si>
  <si>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</si>
  <si>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</si>
  <si>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</si>
  <si>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</si>
  <si>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</si>
  <si>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</si>
  <si>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</si>
  <si>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</si>
  <si>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</si>
  <si>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</si>
  <si>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</si>
  <si>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</si>
  <si>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</si>
  <si>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</si>
  <si>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</si>
  <si>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</si>
  <si>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</si>
  <si>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</si>
  <si>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</si>
  <si>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</si>
  <si>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</si>
  <si>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</si>
  <si>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</si>
  <si>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</si>
  <si>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</si>
  <si>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</si>
  <si>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</si>
  <si>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</si>
  <si>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</si>
  <si>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</si>
  <si>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</si>
  <si>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</si>
  <si>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</si>
  <si>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</si>
  <si>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</si>
  <si>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</si>
  <si>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</si>
  <si>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</si>
  <si>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</si>
  <si>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</si>
  <si>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</si>
  <si>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</si>
  <si>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</si>
  <si>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</si>
  <si>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</si>
  <si>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</si>
  <si>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</si>
  <si>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</si>
  <si>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</si>
  <si>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</si>
  <si>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</si>
  <si>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</si>
  <si>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</si>
  <si>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</si>
  <si>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</si>
  <si>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</si>
  <si>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</si>
  <si>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</si>
  <si>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</si>
  <si>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</si>
  <si>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</si>
  <si>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</si>
  <si>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</si>
  <si>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</si>
  <si>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</si>
  <si>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</si>
  <si>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</si>
  <si>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</si>
  <si>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</si>
  <si>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</si>
  <si>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</si>
  <si>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</si>
  <si>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</si>
  <si>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</si>
  <si>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</si>
  <si>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</si>
  <si>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</si>
  <si>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</si>
  <si>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</si>
  <si>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</si>
  <si>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</si>
  <si>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</si>
  <si>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</si>
  <si>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</si>
  <si>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</si>
  <si>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</si>
  <si>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</si>
  <si>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</si>
  <si>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</si>
  <si>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</si>
  <si>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</si>
  <si>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</si>
  <si>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</si>
  <si>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</si>
  <si>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</si>
  <si>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</si>
  <si>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</si>
  <si>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</si>
  <si>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</si>
  <si>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</si>
  <si>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</si>
  <si>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</si>
  <si>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</si>
  <si>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</si>
  <si>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</si>
  <si>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</si>
  <si>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</si>
  <si>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</si>
  <si>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</si>
  <si>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</si>
  <si>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</si>
  <si>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</si>
  <si>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</si>
  <si>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</si>
  <si>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</si>
  <si>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</si>
  <si>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</si>
  <si>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</si>
  <si>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</si>
  <si>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</si>
  <si>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</si>
  <si>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</si>
  <si>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</si>
  <si>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</si>
  <si>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</si>
  <si>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</si>
  <si>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</si>
  <si>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</si>
  <si>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</si>
  <si>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</si>
  <si>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31 tonn, men det legges til grunn at hele avsetningen tas</t>
  </si>
  <si>
    <t>4 Registrert rekreasjonsfiske utgjør 126 tonn, men det legges til grunn at hele avsetningen tas</t>
  </si>
  <si>
    <t>3 Registrert rekreasjonsfiske utgjør 471 tonn, men det legges til grunn at hele avsetningen tas</t>
  </si>
  <si>
    <t>FANGST UKE 15</t>
  </si>
  <si>
    <t>FANGST T.O.M UKE 15</t>
  </si>
  <si>
    <t>RESTKVOTER UKE 15</t>
  </si>
  <si>
    <t>FANGST T.O.M UKE 15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</si>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</sst>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0" fontId="31" fillId="0" borderId="48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3" fontId="30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zoomScale="112" zoomScaleNormal="55" zoomScaleSheetLayoutView="100" zoomScalePageLayoutView="85" workbookViewId="0">
      <selection activeCell="G6" sqref="G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17" t="s">
        <v>139</v>
      </c>
      <c r="C2" s="318"/>
      <c r="D2" s="318"/>
      <c r="E2" s="318"/>
      <c r="F2" s="318"/>
      <c r="G2" s="318"/>
      <c r="H2" s="318"/>
      <c r="I2" s="318"/>
      <c r="J2" s="319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20"/>
      <c r="C9" s="321"/>
      <c r="D9" s="321"/>
      <c r="E9" s="321"/>
      <c r="F9" s="321"/>
      <c r="G9" s="321"/>
      <c r="H9" s="321"/>
      <c r="I9" s="321"/>
      <c r="J9" s="322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3" t="s">
        <v>1</v>
      </c>
      <c r="D11" s="324"/>
      <c r="E11" s="323" t="s">
        <v>2</v>
      </c>
      <c r="F11" s="324"/>
      <c r="G11" s="323" t="s">
        <v>3</v>
      </c>
      <c r="H11" s="324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9"/>
      <c r="D17" s="329"/>
      <c r="E17" s="329"/>
      <c r="F17" s="329"/>
      <c r="G17" s="329"/>
      <c r="H17" s="329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v>33432</v>
      </c>
      <c r="F22" s="27">
        <f t="shared" ref="F22:I22" si="0">F24+F23</f>
        <v>419.25071000000003</v>
      </c>
      <c r="G22" s="27">
        <f t="shared" si="0"/>
        <v>10321.099899999999</v>
      </c>
      <c r="H22" s="10">
        <f>H24+H23</f>
        <v>23110.900100000003</v>
      </c>
      <c r="I22" s="10">
        <f t="shared" si="0"/>
        <v>15302.74473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377.60771</f>
        <v>377.60771</v>
      </c>
      <c r="G23" s="22">
        <f>10119.7069</f>
        <v>10119.706899999999</v>
      </c>
      <c r="H23" s="22">
        <f>E23-G23</f>
        <v>22569.293100000003</v>
      </c>
      <c r="I23" s="22">
        <f>15112.62123</f>
        <v>15112.621230000001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41.643</f>
        <v>41.643000000000001</v>
      </c>
      <c r="G24" s="22">
        <f>201.393</f>
        <v>201.393</v>
      </c>
      <c r="H24" s="22">
        <f>E24-G24</f>
        <v>541.60699999999997</v>
      </c>
      <c r="I24" s="22">
        <f>190.1235</f>
        <v>190.12350000000001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v>98042</v>
      </c>
      <c r="F25" s="27">
        <f t="shared" ref="F25:I25" si="1">F33+F32+F26</f>
        <v>5148.7394000000004</v>
      </c>
      <c r="G25" s="10">
        <f t="shared" si="1"/>
        <v>71123.181700000001</v>
      </c>
      <c r="H25" s="10">
        <f>H33+H32+H26</f>
        <v>26918.818299999999</v>
      </c>
      <c r="I25" s="10">
        <f t="shared" si="1"/>
        <v>83795.00417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v>77858</v>
      </c>
      <c r="F26" s="129">
        <f>F27+F28+F29+F30+F31</f>
        <v>3641.9266499999999</v>
      </c>
      <c r="G26" s="129">
        <f>G27+G28+G29+G30+G31</f>
        <v>59623.19644</v>
      </c>
      <c r="H26" s="129">
        <f>H27+H28+H29+H30+H31</f>
        <v>18234.80356</v>
      </c>
      <c r="I26" s="129">
        <f t="shared" ref="H26:I26" si="2">I27+I28+I29+I30+I31</f>
        <v>69731.338189999995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1521.34105 - F53</f>
        <v>1521.34105</v>
      </c>
      <c r="G27" s="123">
        <f>17558.86574 - G53</f>
        <v>17558.865740000001</v>
      </c>
      <c r="H27" s="123">
        <f>E27-G27</f>
        <v>3309.1342599999989</v>
      </c>
      <c r="I27" s="123">
        <f>19419.43177 - I53</f>
        <v>19419.431769999999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768.42287 - F54</f>
        <v>768.42286999999999</v>
      </c>
      <c r="G28" s="123">
        <f>17276.77779 - G54</f>
        <v>17276.77779</v>
      </c>
      <c r="H28" s="123">
        <f>E28-G28</f>
        <v>2443.2222099999999</v>
      </c>
      <c r="I28" s="123">
        <f>19959.87785 - I54</f>
        <v>19959.877850000001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563.02527 - F55</f>
        <v>563.02526999999998</v>
      </c>
      <c r="G29" s="123">
        <f>14106.38704 - G55</f>
        <v>14106.38704</v>
      </c>
      <c r="H29" s="123">
        <f>E29-G29</f>
        <v>3518.6129600000004</v>
      </c>
      <c r="I29" s="123">
        <f>17981.93034 - I55</f>
        <v>17981.930339999999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789.13746 - F56</f>
        <v>789.13746000000003</v>
      </c>
      <c r="G30" s="123">
        <f>10681.16587 - G56</f>
        <v>10681.165870000001</v>
      </c>
      <c r="H30" s="123">
        <f>E30-G30</f>
        <v>2272.8341299999993</v>
      </c>
      <c r="I30" s="123">
        <f>12370.09823 - I56</f>
        <v>12370.09823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>E31-G31</f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394.24936</f>
        <v>394.24936000000002</v>
      </c>
      <c r="G32" s="129">
        <f>3408.68692</f>
        <v>3408.6869200000001</v>
      </c>
      <c r="H32" s="129">
        <f>E32-G32</f>
        <v>7498.3130799999999</v>
      </c>
      <c r="I32" s="129">
        <f>5424.31368</f>
        <v>5424.3136800000002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v>9277</v>
      </c>
      <c r="F33" s="129">
        <f>F34+F35</f>
        <v>1112.56339</v>
      </c>
      <c r="G33" s="129">
        <f>G34+G35</f>
        <v>8091.2983399999994</v>
      </c>
      <c r="H33" s="129">
        <f>E33-G33</f>
        <v>1185.7016600000006</v>
      </c>
      <c r="I33" s="129">
        <f>I34+I35</f>
        <v>8639.3523000000005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1360.56339 - F57 - F58</f>
        <v>1112.56339</v>
      </c>
      <c r="G34" s="129">
        <f>9804.29834 - G57 - G58</f>
        <v>8091.2983399999994</v>
      </c>
      <c r="H34" s="123">
        <f>E34-G34</f>
        <v>320.70166000000063</v>
      </c>
      <c r="I34" s="123">
        <f>9878.3523 - I57 - I58</f>
        <v>8639.3523000000005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>E35-G35</f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8.9912</f>
        <v>8.9911999999999992</v>
      </c>
      <c r="G36" s="136">
        <f>384.7944</f>
        <v>384.7944</v>
      </c>
      <c r="H36" s="136">
        <f>E36-G36</f>
        <v>115.2056</v>
      </c>
      <c r="I36" s="136">
        <f>254.3836</f>
        <v>254.3836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42.3545</f>
        <v>42.354500000000002</v>
      </c>
      <c r="G37" s="95">
        <f>475.8922</f>
        <v>475.8922</v>
      </c>
      <c r="H37" s="95">
        <f>E37-G37</f>
        <v>404.1078</v>
      </c>
      <c r="I37" s="95">
        <f>509.07254</f>
        <v>509.07254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248</v>
      </c>
      <c r="G38" s="95">
        <f>G58</f>
        <v>1713</v>
      </c>
      <c r="H38" s="95">
        <f>E38-G38</f>
        <v>1287</v>
      </c>
      <c r="I38" s="95">
        <f>I58</f>
        <v>1239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120.62903</f>
        <v>120.62903</v>
      </c>
      <c r="G39" s="95">
        <f>E39</f>
        <v>7000</v>
      </c>
      <c r="H39" s="95">
        <f>E39-G39</f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46.34145</f>
        <v>46.341450000000002</v>
      </c>
      <c r="G40" s="95">
        <f>320.43788</f>
        <v>320.43788000000001</v>
      </c>
      <c r="H40" s="95">
        <f>E40-G40</f>
        <v>129.56211999999999</v>
      </c>
      <c r="I40" s="95">
        <f>290.33266</f>
        <v>290.33265999999998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40.99355</f>
        <v>40.993549999999999</v>
      </c>
      <c r="H41" s="136">
        <f>D41-G41</f>
        <v>-40.993549999999999</v>
      </c>
      <c r="I41" s="136">
        <f>49.20208</f>
        <v>49.202080000000002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3">F22+F25+F36+F37+F38+F39+F40+F41</f>
        <v>6034.3062900000014</v>
      </c>
      <c r="G42" s="73">
        <f>G22+G25+G36+G37+G38+G39+G40+G41</f>
        <v>91379.39963</v>
      </c>
      <c r="H42" s="73">
        <f>H22+H25+H36+H37+H38+H39+H40+H41</f>
        <v>51924.60037</v>
      </c>
      <c r="I42" s="73">
        <f t="shared" si="3"/>
        <v>108439.73978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32" t="s">
        <v>138</v>
      </c>
      <c r="D49" s="332"/>
      <c r="E49" s="332"/>
      <c r="F49" s="332"/>
      <c r="G49" s="332"/>
      <c r="H49" s="332"/>
      <c r="I49" s="80"/>
      <c r="J49" s="81"/>
    </row>
    <row r="50" spans="1:10" ht="16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33">
        <v>7085</v>
      </c>
      <c r="E52" s="333">
        <v>6691</v>
      </c>
      <c r="F52" s="10">
        <f>F56+F55+F54+F53</f>
        <v>0</v>
      </c>
      <c r="G52" s="10">
        <f>G56+G55+G54+G53</f>
        <v>0</v>
      </c>
      <c r="H52" s="333">
        <f>D52-G52</f>
        <v>7085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34"/>
      <c r="E53" s="334"/>
      <c r="F53" s="123"/>
      <c r="G53" s="123"/>
      <c r="H53" s="334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34"/>
      <c r="E54" s="334"/>
      <c r="F54" s="123"/>
      <c r="G54" s="123"/>
      <c r="H54" s="334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34"/>
      <c r="E55" s="334"/>
      <c r="F55" s="123"/>
      <c r="G55" s="123"/>
      <c r="H55" s="334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35"/>
      <c r="E56" s="335"/>
      <c r="F56" s="186"/>
      <c r="G56" s="186"/>
      <c r="H56" s="335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D57-G57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248</v>
      </c>
      <c r="G58" s="136">
        <v>1713</v>
      </c>
      <c r="H58" s="136">
        <f>D58-G58</f>
        <v>1287</v>
      </c>
      <c r="I58" s="136">
        <v>1239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3" t="s">
        <v>1</v>
      </c>
      <c r="D68" s="324"/>
      <c r="E68" s="323" t="s">
        <v>2</v>
      </c>
      <c r="F68" s="336"/>
      <c r="G68" s="323" t="s">
        <v>3</v>
      </c>
      <c r="H68" s="324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28879</v>
      </c>
      <c r="F79" s="10">
        <f t="shared" ref="F79:I79" si="4">F81+F80</f>
        <v>1313.2256</v>
      </c>
      <c r="G79" s="10">
        <f t="shared" si="4"/>
        <v>14023.968339999999</v>
      </c>
      <c r="H79" s="10">
        <f>H81+H80</f>
        <v>14855.031660000001</v>
      </c>
      <c r="I79" s="10">
        <f t="shared" si="4"/>
        <v>16110.05666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28123</v>
      </c>
      <c r="F80" s="22">
        <f>1278.7618</f>
        <v>1278.7618</v>
      </c>
      <c r="G80" s="22">
        <f>13762.95521</f>
        <v>13762.95521</v>
      </c>
      <c r="H80" s="22">
        <f>E80-G80</f>
        <v>14360.04479</v>
      </c>
      <c r="I80" s="22">
        <f>15829.75566</f>
        <v>15829.755660000001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34.4638</f>
        <v>34.463799999999999</v>
      </c>
      <c r="G81" s="48">
        <f>261.01313</f>
        <v>261.01312999999999</v>
      </c>
      <c r="H81" s="48">
        <f>E81-G81</f>
        <v>494.98687000000001</v>
      </c>
      <c r="I81" s="48">
        <f>280.301</f>
        <v>280.30099999999999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50748</v>
      </c>
      <c r="F82" s="10">
        <f t="shared" ref="F82:I82" si="5">F83+F88+F89</f>
        <v>1292.1352300000001</v>
      </c>
      <c r="G82" s="10">
        <f t="shared" si="5"/>
        <v>12119.78587</v>
      </c>
      <c r="H82" s="10">
        <f>H83+H88+H89</f>
        <v>38628.21413</v>
      </c>
      <c r="I82" s="10">
        <f t="shared" si="5"/>
        <v>14963.73826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37462</v>
      </c>
      <c r="F83" s="129">
        <f t="shared" ref="F83:I83" si="6">F84+F85+F86+F87</f>
        <v>822.66363000000001</v>
      </c>
      <c r="G83" s="129">
        <f t="shared" si="6"/>
        <v>9058.1123299999999</v>
      </c>
      <c r="H83" s="129">
        <f>H84+H85+H86+H87</f>
        <v>28403.88767</v>
      </c>
      <c r="I83" s="129">
        <f t="shared" si="6"/>
        <v>11736.47654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10382</v>
      </c>
      <c r="F84" s="123">
        <f>81.3595</f>
        <v>81.359499999999997</v>
      </c>
      <c r="G84" s="123">
        <f>2088.98978</f>
        <v>2088.9897799999999</v>
      </c>
      <c r="H84" s="123">
        <f>E84-G84</f>
        <v>8293.0102200000001</v>
      </c>
      <c r="I84" s="123">
        <f>2235.81501</f>
        <v>2235.8150099999998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10815</v>
      </c>
      <c r="F85" s="123">
        <f>353.00831</f>
        <v>353.00830999999999</v>
      </c>
      <c r="G85" s="123">
        <f>2659.02432</f>
        <v>2659.02432</v>
      </c>
      <c r="H85" s="123">
        <f>E85-G85</f>
        <v>8155.9756799999996</v>
      </c>
      <c r="I85" s="123">
        <f>2893.74487</f>
        <v>2893.74487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9753</v>
      </c>
      <c r="F86" s="123">
        <f>338.64432</f>
        <v>338.64431999999999</v>
      </c>
      <c r="G86" s="123">
        <f>2665.67978</f>
        <v>2665.6797799999999</v>
      </c>
      <c r="H86" s="123">
        <f>E86-G86</f>
        <v>7087.3202199999996</v>
      </c>
      <c r="I86" s="123">
        <f>3375.95776</f>
        <v>3375.9577599999998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6512</v>
      </c>
      <c r="F87" s="123">
        <f>49.6515</f>
        <v>49.651499999999999</v>
      </c>
      <c r="G87" s="123">
        <f>1644.41845</f>
        <v>1644.4184499999999</v>
      </c>
      <c r="H87" s="123">
        <f>E87-G87</f>
        <v>4867.5815499999999</v>
      </c>
      <c r="I87" s="123">
        <f>3230.9589</f>
        <v>3230.9589000000001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9205</v>
      </c>
      <c r="F88" s="129">
        <f>424.54142</f>
        <v>424.54142000000002</v>
      </c>
      <c r="G88" s="129">
        <f>1985.38225</f>
        <v>1985.3822500000001</v>
      </c>
      <c r="H88" s="129">
        <f>E88-G88</f>
        <v>7219.6177499999994</v>
      </c>
      <c r="I88" s="129">
        <f>2304.73502</f>
        <v>2304.7350200000001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4081</v>
      </c>
      <c r="F89" s="72">
        <f>44.93018</f>
        <v>44.93018</v>
      </c>
      <c r="G89" s="72">
        <f>1076.29129</f>
        <v>1076.2912899999999</v>
      </c>
      <c r="H89" s="72">
        <f>E89-G89</f>
        <v>3004.7087099999999</v>
      </c>
      <c r="I89" s="72">
        <f>922.5267</f>
        <v>922.52670000000001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0.22137</f>
        <v>0.22137000000000001</v>
      </c>
      <c r="G90" s="95">
        <f>10.84113</f>
        <v>10.84113</v>
      </c>
      <c r="H90" s="95">
        <f>E90-G90</f>
        <v>308.15886999999998</v>
      </c>
      <c r="I90" s="95">
        <f>26.90479</f>
        <v>26.904789999999998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4.12878</f>
        <v>4.1287799999999999</v>
      </c>
      <c r="G91" s="136">
        <f>E91</f>
        <v>300</v>
      </c>
      <c r="H91" s="136">
        <f>E91-G91</f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0.24276</f>
        <v>0.24276</v>
      </c>
      <c r="G92" s="95">
        <f>3.09759</f>
        <v>3.0975899999999998</v>
      </c>
      <c r="H92" s="136">
        <f>E92-G92</f>
        <v>46.902410000000003</v>
      </c>
      <c r="I92" s="95">
        <f>9.42538</f>
        <v>9.4253800000000005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6.4455</f>
        <v>6.4455</v>
      </c>
      <c r="H93" s="136">
        <f t="shared" ref="H84:H93" si="7">D93-G93</f>
        <v>-6.4455</v>
      </c>
      <c r="I93" s="136">
        <f>5.10856</f>
        <v>5.1085599999999998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8">E79+E82+E90+E91+E92+E93</f>
        <v>80296</v>
      </c>
      <c r="F94" s="73">
        <f t="shared" ref="F94:I94" si="9">F79+F82+F90+F91+F92+F93</f>
        <v>2609.9537400000004</v>
      </c>
      <c r="G94" s="73">
        <f t="shared" si="9"/>
        <v>26464.138430000003</v>
      </c>
      <c r="H94" s="73">
        <f>H79+H82+H90+H91+H92+H93</f>
        <v>53831.861570000001</v>
      </c>
      <c r="I94" s="73">
        <f t="shared" si="9"/>
        <v>31415.233650000002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0</v>
      </c>
      <c r="F115" s="10">
        <f t="shared" ref="F115:I115" si="10">F116+F117+F118</f>
        <v>527.75837000000001</v>
      </c>
      <c r="G115" s="10">
        <f t="shared" si="10"/>
        <v>13732.16786</v>
      </c>
      <c r="H115" s="10">
        <f t="shared" si="10"/>
        <v>40513.832139999999</v>
      </c>
      <c r="I115" s="10">
        <f t="shared" si="10"/>
        <v>24697.747649999998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/>
      <c r="F116" s="22">
        <f>223.33067</f>
        <v>223.33067</v>
      </c>
      <c r="G116" s="22">
        <f>12184.38086</f>
        <v>12184.380859999999</v>
      </c>
      <c r="H116" s="22">
        <f>D116-G116</f>
        <v>31212.619140000003</v>
      </c>
      <c r="I116" s="22">
        <f>21931.0603</f>
        <v>21931.060300000001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/>
      <c r="F117" s="22">
        <f>304.4277</f>
        <v>304.42770000000002</v>
      </c>
      <c r="G117" s="22">
        <f>1481.288</f>
        <v>1481.288</v>
      </c>
      <c r="H117" s="22">
        <f>D117-G117</f>
        <v>8867.7119999999995</v>
      </c>
      <c r="I117" s="22">
        <f>2701.5849</f>
        <v>2701.5848999999998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/>
      <c r="F118" s="22">
        <f>0</f>
        <v>0</v>
      </c>
      <c r="G118" s="22">
        <f>66.499</f>
        <v>66.498999999999995</v>
      </c>
      <c r="H118" s="53">
        <f>D118-G118</f>
        <v>433.50099999999998</v>
      </c>
      <c r="I118" s="22">
        <f>65.10245</f>
        <v>65.102450000000005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/>
      <c r="F119" s="92">
        <f>72.799</f>
        <v>72.799000000000007</v>
      </c>
      <c r="G119" s="92">
        <f>166.291+183.9705+21.8318</f>
        <v>372.09329999999994</v>
      </c>
      <c r="H119" s="92">
        <f>D119-G119</f>
        <v>36280.9067</v>
      </c>
      <c r="I119" s="92">
        <f>23.155</f>
        <v>23.155000000000001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0</v>
      </c>
      <c r="F120" s="91">
        <f>F121+F126+F129</f>
        <v>744.79012</v>
      </c>
      <c r="G120" s="91">
        <f t="shared" ref="G120" si="11">G121+G126+G129</f>
        <v>17591.65971</v>
      </c>
      <c r="H120" s="91">
        <f>H121+H126+H129</f>
        <v>39518.340289999993</v>
      </c>
      <c r="I120" s="91">
        <f>I121+I126+I129</f>
        <v>31051.627110000001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0</v>
      </c>
      <c r="F121" s="121">
        <f>F122+F123+F124+F125</f>
        <v>635.47738000000004</v>
      </c>
      <c r="G121" s="121">
        <f>G122+G123+G125+G124</f>
        <v>13340.953220000001</v>
      </c>
      <c r="H121" s="121">
        <f>H122+H123+H124+H125</f>
        <v>29841.046779999997</v>
      </c>
      <c r="I121" s="121">
        <f>I122+I123+I124+I125</f>
        <v>23046.336060000001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/>
      <c r="F122" s="123">
        <f>95.13369</f>
        <v>95.133690000000001</v>
      </c>
      <c r="G122" s="123">
        <f>3789.21353</f>
        <v>3789.21353</v>
      </c>
      <c r="H122" s="123">
        <f>D122-G122</f>
        <v>7686.78647</v>
      </c>
      <c r="I122" s="123">
        <f>5169.47</f>
        <v>5169.47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/>
      <c r="F123" s="123">
        <f>71.91699</f>
        <v>71.916989999999998</v>
      </c>
      <c r="G123" s="123">
        <f>4429.78311</f>
        <v>4429.7831100000003</v>
      </c>
      <c r="H123" s="123">
        <f>D123-G123</f>
        <v>7405.2168899999997</v>
      </c>
      <c r="I123" s="123">
        <f>7351.99885</f>
        <v>7351.9988499999999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/>
      <c r="F124" s="123">
        <f>80.10427</f>
        <v>80.10427</v>
      </c>
      <c r="G124" s="123">
        <f>2934.79853-21.8318</f>
        <v>2912.9667300000001</v>
      </c>
      <c r="H124" s="123">
        <f>D124-G124</f>
        <v>7560.0332699999999</v>
      </c>
      <c r="I124" s="123">
        <f>4966.25958</f>
        <v>4966.2595799999999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/>
      <c r="F125" s="123">
        <f>388.32243</f>
        <v>388.32243</v>
      </c>
      <c r="G125" s="123">
        <f>2392.96035-183.9705</f>
        <v>2208.9898499999999</v>
      </c>
      <c r="H125" s="123">
        <f>D125-G125</f>
        <v>7189.0101500000001</v>
      </c>
      <c r="I125" s="123">
        <f>5558.60763</f>
        <v>5558.6076300000004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0</v>
      </c>
      <c r="F126" s="129">
        <f>SUM(F127:F128)</f>
        <v>5.7337199999999999</v>
      </c>
      <c r="G126" s="129">
        <f>SUM(G127:G128)</f>
        <v>1797.57215</v>
      </c>
      <c r="H126" s="129">
        <f>H127+H128</f>
        <v>4330.42785</v>
      </c>
      <c r="I126" s="129">
        <f>SUM(I127:I128)</f>
        <v>5579.5665400000007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/>
      <c r="F127" s="123">
        <f>0.91512</f>
        <v>0.91512000000000004</v>
      </c>
      <c r="G127" s="123">
        <f>1645.87723</f>
        <v>1645.8772300000001</v>
      </c>
      <c r="H127" s="123">
        <f t="shared" ref="H127:H135" si="12">D127-G127</f>
        <v>3982.1227699999999</v>
      </c>
      <c r="I127" s="123">
        <f>5469.74336</f>
        <v>5469.7433600000004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/>
      <c r="F128" s="123">
        <f>4.8186</f>
        <v>4.8186</v>
      </c>
      <c r="G128" s="123">
        <f>151.69492</f>
        <v>151.69492</v>
      </c>
      <c r="H128" s="123">
        <f t="shared" si="12"/>
        <v>348.30507999999998</v>
      </c>
      <c r="I128" s="123">
        <f>109.82318</f>
        <v>109.82317999999999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/>
      <c r="F129" s="72">
        <f>103.57902</f>
        <v>103.57902</v>
      </c>
      <c r="G129" s="72">
        <f>2453.13434</f>
        <v>2453.1343400000001</v>
      </c>
      <c r="H129" s="72">
        <f t="shared" si="12"/>
        <v>5346.8656599999995</v>
      </c>
      <c r="I129" s="72">
        <f>2425.72451</f>
        <v>2425.72451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/>
      <c r="F130" s="136">
        <f>0.2781</f>
        <v>0.27810000000000001</v>
      </c>
      <c r="G130" s="136">
        <f>12.164</f>
        <v>12.164</v>
      </c>
      <c r="H130" s="136">
        <f t="shared" si="12"/>
        <v>143.83600000000001</v>
      </c>
      <c r="I130" s="136">
        <f>14.96865</f>
        <v>14.96865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/>
      <c r="F131" s="95">
        <f>0</f>
        <v>0</v>
      </c>
      <c r="G131" s="95">
        <f>0</f>
        <v>0</v>
      </c>
      <c r="H131" s="95">
        <f t="shared" si="12"/>
        <v>350</v>
      </c>
      <c r="I131" s="95">
        <f>0</f>
        <v>0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/>
      <c r="F132" s="136">
        <f>13.92583</f>
        <v>13.925829999999999</v>
      </c>
      <c r="G132" s="136">
        <f>E132</f>
        <v>0</v>
      </c>
      <c r="H132" s="136">
        <f t="shared" si="12"/>
        <v>2000</v>
      </c>
      <c r="I132" s="136">
        <f>E132</f>
        <v>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2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/>
      <c r="F134" s="95">
        <f>0.16331</f>
        <v>0.16331000000000001</v>
      </c>
      <c r="G134" s="95">
        <f>4.11988</f>
        <v>4.1198800000000002</v>
      </c>
      <c r="H134" s="136">
        <f t="shared" si="12"/>
        <v>250.88012000000001</v>
      </c>
      <c r="I134" s="95">
        <f>76.85166</f>
        <v>76.851659999999995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2"/>
        <v>-64.419749999999993</v>
      </c>
      <c r="I135" s="136">
        <f>74.65446</f>
        <v>74.65446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3">D115+D119+D120+D130+D131+D132+D133+D134+D135</f>
        <v>150770</v>
      </c>
      <c r="E137" s="73">
        <f t="shared" si="13"/>
        <v>0</v>
      </c>
      <c r="F137" s="73">
        <f>F115+F119+F120+F130+F131+F132+F133+F134+F135</f>
        <v>1359.7147299999999</v>
      </c>
      <c r="G137" s="73">
        <f>G115+G119+G120+G130+G131+G132+G133+G134+G135</f>
        <v>31776.624500000002</v>
      </c>
      <c r="H137" s="73">
        <f>H115+H119+H120+H130+H131+H132+H133+H134+H135</f>
        <v>118993.37549999999</v>
      </c>
      <c r="I137" s="73">
        <f>I115+I119+I120+I130+I131+I132+I133+I134+I135</f>
        <v>55939.004529999998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5.19449</f>
        <v>5.1944900000000001</v>
      </c>
      <c r="F160" s="301">
        <f>444.91121</f>
        <v>444.91120999999998</v>
      </c>
      <c r="G160" s="42">
        <f>D160-F160-F161</f>
        <v>3037.1440299999999</v>
      </c>
      <c r="H160" s="301">
        <f>333.59157</f>
        <v>333.59156999999999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45.33156</f>
        <v>45.331560000000003</v>
      </c>
      <c r="F161" s="148">
        <f>271.94476</f>
        <v>271.94475999999997</v>
      </c>
      <c r="G161" s="219"/>
      <c r="H161" s="148">
        <f>297.96974</f>
        <v>297.96974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7.87232</f>
        <v>7.8723200000000002</v>
      </c>
      <c r="F162" s="166">
        <f>20.39606</f>
        <v>20.396059999999999</v>
      </c>
      <c r="G162" s="166">
        <f>D162-F162</f>
        <v>179.60393999999999</v>
      </c>
      <c r="H162" s="166">
        <f>42.66303</f>
        <v>42.663029999999999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8.5693999999999999</v>
      </c>
      <c r="F163" s="175">
        <f>F164+F165+F166</f>
        <v>93.254620000000003</v>
      </c>
      <c r="G163" s="175">
        <f>D163-F163</f>
        <v>5536.7453800000003</v>
      </c>
      <c r="H163" s="175">
        <f>H164+H165+H166</f>
        <v>94.14797999999999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5.352</f>
        <v>5.3520000000000003</v>
      </c>
      <c r="F164" s="123">
        <f>33.34132</f>
        <v>33.341320000000003</v>
      </c>
      <c r="G164" s="123"/>
      <c r="H164" s="123">
        <f>30.19212</f>
        <v>30.192119999999999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2.0094</f>
        <v>2.0093999999999999</v>
      </c>
      <c r="F165" s="123">
        <f>43.55442</f>
        <v>43.55442</v>
      </c>
      <c r="G165" s="123"/>
      <c r="H165" s="123">
        <f>35.95834</f>
        <v>35.95834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1.208</f>
        <v>1.208</v>
      </c>
      <c r="F166" s="186">
        <f>16.35888</f>
        <v>16.358879999999999</v>
      </c>
      <c r="G166" s="186"/>
      <c r="H166" s="186">
        <f>27.99752</f>
        <v>27.997520000000002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66.967770000000002</v>
      </c>
      <c r="F169" s="188">
        <f>F160+F161+F162+F163+F167+F168</f>
        <v>830.98261000000002</v>
      </c>
      <c r="G169" s="188">
        <f>D169-F169</f>
        <v>8844.0173900000009</v>
      </c>
      <c r="H169" s="188">
        <f>H160+H161+H162+H163+H167+H168</f>
        <v>768.37232000000006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120.11071</f>
        <v>120.11071</v>
      </c>
      <c r="G189" s="124">
        <f>14967.94199</f>
        <v>14967.941989999999</v>
      </c>
      <c r="H189" s="124">
        <f>E189-G189</f>
        <v>27772.058010000001</v>
      </c>
      <c r="I189" s="124">
        <f>17339.42807</f>
        <v>17339.428070000002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0.148</f>
        <v>0.14799999999999999</v>
      </c>
      <c r="G190" s="124">
        <f>3.42492</f>
        <v>3.4249200000000002</v>
      </c>
      <c r="H190" s="124">
        <f>E190-G190</f>
        <v>96.57508</v>
      </c>
      <c r="I190" s="124">
        <f>5.48294</f>
        <v>5.4829400000000001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120.25870999999999</v>
      </c>
      <c r="G192" s="190">
        <f>SUM(G189:G191)</f>
        <v>14971.366909999999</v>
      </c>
      <c r="H192" s="190">
        <f>E192-G192</f>
        <v>27914.633090000003</v>
      </c>
      <c r="I192" s="190">
        <f>SUM(I189:I191)</f>
        <v>17344.911010000003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63.343180000000004</v>
      </c>
      <c r="F202" s="72">
        <f>F203+F204</f>
        <v>1829.6039999999998</v>
      </c>
      <c r="G202" s="72">
        <f>D202-F202</f>
        <v>1372.3960000000002</v>
      </c>
      <c r="H202" s="72">
        <f>H203+H204</f>
        <v>1460.4353000000001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35.4632</f>
        <v>35.463200000000001</v>
      </c>
      <c r="F203" s="72">
        <f>1399.74788</f>
        <v>1399.7478799999999</v>
      </c>
      <c r="G203" s="72"/>
      <c r="H203" s="72">
        <f>1029.5109</f>
        <v>1029.5109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27.87998</f>
        <v>27.87998</v>
      </c>
      <c r="F204" s="124">
        <f>429.85612</f>
        <v>429.85611999999998</v>
      </c>
      <c r="G204" s="168"/>
      <c r="H204" s="124">
        <f>430.9244</f>
        <v>430.92439999999999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156.66262</f>
        <v>156.66262</v>
      </c>
      <c r="F205" s="72">
        <f>1502.9219</f>
        <v>1502.9219000000001</v>
      </c>
      <c r="G205" s="72">
        <f>D205-F205</f>
        <v>2201.0780999999997</v>
      </c>
      <c r="H205" s="72">
        <f>1521.85477</f>
        <v>1521.8547699999999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220.00580000000002</v>
      </c>
      <c r="F206" s="190">
        <f>SUM(F202,F205)</f>
        <v>3332.5258999999996</v>
      </c>
      <c r="G206" s="190">
        <f>D206-F206</f>
        <v>3573.4741000000004</v>
      </c>
      <c r="H206" s="190">
        <f>SUM(H202,H205)</f>
        <v>2982.29007</v>
      </c>
      <c r="I206" s="275"/>
      <c r="J206" s="117"/>
    </row>
    <row r="207" spans="1:10" ht="19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288.36911999999995</v>
      </c>
      <c r="F215" s="72">
        <f>F216+F217</f>
        <v>2290.7698099999998</v>
      </c>
      <c r="G215" s="72">
        <f>D215-F215</f>
        <v>3225.2301900000002</v>
      </c>
      <c r="H215" s="72">
        <f>H216+H217</f>
        <v>1344.6152199999999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277.7012</f>
        <v>277.70119999999997</v>
      </c>
      <c r="F216" s="72">
        <f>2036.77966</f>
        <v>2036.7796599999999</v>
      </c>
      <c r="G216" s="72"/>
      <c r="H216" s="72">
        <f>1109.35411</f>
        <v>1109.35411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10.66792</f>
        <v>10.667920000000001</v>
      </c>
      <c r="F217" s="124">
        <f>253.99015</f>
        <v>253.99015</v>
      </c>
      <c r="G217" s="168"/>
      <c r="H217" s="124">
        <f>235.26111</f>
        <v>235.26111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89.86816</f>
        <v>89.868160000000003</v>
      </c>
      <c r="F218" s="72">
        <f>1363.71775</f>
        <v>1363.71775</v>
      </c>
      <c r="G218" s="72">
        <f>D218-F218</f>
        <v>1868.28225</v>
      </c>
      <c r="H218" s="72">
        <f>986.64759</f>
        <v>986.64759000000004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378.23727999999994</v>
      </c>
      <c r="F219" s="190">
        <f>SUM(F215,F218)</f>
        <v>3654.4875599999996</v>
      </c>
      <c r="G219" s="190">
        <f>D219-F219</f>
        <v>5093.5124400000004</v>
      </c>
      <c r="H219" s="190">
        <f>SUM(H215,H218)</f>
        <v>2331.2628100000002</v>
      </c>
      <c r="I219" s="275"/>
      <c r="J219" s="117"/>
    </row>
    <row r="220" spans="1:10" ht="19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1.07734</f>
        <v>1.07734</v>
      </c>
      <c r="F237" s="124">
        <f>47.79935</f>
        <v>47.799349999999997</v>
      </c>
      <c r="G237" s="124">
        <f>D237-F237</f>
        <v>752.20065</v>
      </c>
      <c r="H237" s="124">
        <f>128.70264</f>
        <v>128.70264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9.39666</f>
        <v>9.3966600000000007</v>
      </c>
      <c r="F238" s="124">
        <f>142.1757</f>
        <v>142.17570000000001</v>
      </c>
      <c r="G238" s="124">
        <f>D238-F238</f>
        <v>563.82429999999999</v>
      </c>
      <c r="H238" s="124">
        <f>230.83206</f>
        <v>230.83206000000001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</f>
        <v>0</v>
      </c>
      <c r="G239" s="124">
        <f>D239-F239</f>
        <v>10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0.045</f>
        <v>4.4999999999999998E-2</v>
      </c>
      <c r="G240" s="124">
        <f>D240-F240</f>
        <v>-4.4999999999999998E-2</v>
      </c>
      <c r="H240" s="168">
        <f>0.018</f>
        <v>1.7999999999999999E-2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10.474</v>
      </c>
      <c r="F241" s="190">
        <f>SUM(F237:F240)</f>
        <v>190.02005</v>
      </c>
      <c r="G241" s="190">
        <f>D241-F241</f>
        <v>1325.9799499999999</v>
      </c>
      <c r="H241" s="190">
        <f>H237+H238+H239+H240</f>
        <v>359.60684000000003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4">D266+D265+D264+D263</f>
        <v>15215</v>
      </c>
      <c r="E262" s="278">
        <f t="shared" si="14"/>
        <v>0</v>
      </c>
      <c r="F262" s="280">
        <f t="shared" si="14"/>
        <v>19.622039999999998</v>
      </c>
      <c r="G262" s="280">
        <f t="shared" si="14"/>
        <v>811.89542000000006</v>
      </c>
      <c r="H262" s="280">
        <f>H266+H265+H264+H263</f>
        <v>14403.104579999999</v>
      </c>
      <c r="I262" s="280">
        <f t="shared" si="14"/>
        <v>1741.9350399999998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/>
      <c r="F263" s="284">
        <f>0</f>
        <v>0</v>
      </c>
      <c r="G263" s="284">
        <f>180.53577</f>
        <v>180.53577000000001</v>
      </c>
      <c r="H263" s="284">
        <f t="shared" ref="H263:H268" si="15">D263-G263</f>
        <v>7276.4642299999996</v>
      </c>
      <c r="I263" s="284">
        <f>655.60719</f>
        <v>655.60718999999995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/>
      <c r="F264" s="284">
        <f>0</f>
        <v>0</v>
      </c>
      <c r="G264" s="284">
        <f>18.09</f>
        <v>18.09</v>
      </c>
      <c r="H264" s="284">
        <f t="shared" si="15"/>
        <v>1922.91</v>
      </c>
      <c r="I264" s="284">
        <f>124.4025</f>
        <v>124.4025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/>
      <c r="F265" s="284">
        <f>12.92124</f>
        <v>12.921239999999999</v>
      </c>
      <c r="G265" s="284">
        <f>496.28789</f>
        <v>496.28789</v>
      </c>
      <c r="H265" s="284">
        <f t="shared" si="15"/>
        <v>841.71210999999994</v>
      </c>
      <c r="I265" s="284">
        <f>540.19916</f>
        <v>540.19916000000001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/>
      <c r="F266" s="284">
        <f>6.7008</f>
        <v>6.7008000000000001</v>
      </c>
      <c r="G266" s="284">
        <f>116.98176</f>
        <v>116.98175999999999</v>
      </c>
      <c r="H266" s="284">
        <f t="shared" si="15"/>
        <v>4362.0182400000003</v>
      </c>
      <c r="I266" s="284">
        <f>421.72619</f>
        <v>421.72618999999997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/>
      <c r="F267" s="294">
        <f>47.146</f>
        <v>47.146000000000001</v>
      </c>
      <c r="G267" s="294">
        <f>76.931</f>
        <v>76.930999999999997</v>
      </c>
      <c r="H267" s="294">
        <f t="shared" si="15"/>
        <v>5423.0690000000004</v>
      </c>
      <c r="I267" s="294">
        <f>306.10906</f>
        <v>306.10906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/>
      <c r="F268" s="295">
        <f>F270+F269</f>
        <v>36.671340000000001</v>
      </c>
      <c r="G268" s="295">
        <f>G270+G269</f>
        <v>828.60557999999992</v>
      </c>
      <c r="H268" s="295">
        <f t="shared" si="15"/>
        <v>7171.3944200000005</v>
      </c>
      <c r="I268" s="295">
        <f>I270+I269</f>
        <v>1055.6918900000001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328.72877</f>
        <v>328.72877</v>
      </c>
      <c r="H269" s="284"/>
      <c r="I269" s="284">
        <f>447.26843</f>
        <v>447.26843000000002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36.67134</f>
        <v>36.671340000000001</v>
      </c>
      <c r="G270" s="303">
        <f>499.87681</f>
        <v>499.87680999999998</v>
      </c>
      <c r="H270" s="303"/>
      <c r="I270" s="303">
        <f>608.42346</f>
        <v>608.42345999999998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/>
      <c r="F271" s="294">
        <f>0</f>
        <v>0</v>
      </c>
      <c r="G271" s="294">
        <f>0</f>
        <v>0</v>
      </c>
      <c r="H271" s="294">
        <f>D271-G271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2.01324</f>
        <v>2.0132400000000001</v>
      </c>
      <c r="G272" s="294">
        <f>3.92271</f>
        <v>3.9227099999999999</v>
      </c>
      <c r="H272" s="294">
        <f>D272-G272</f>
        <v>-3.9227099999999999</v>
      </c>
      <c r="I272" s="294">
        <f>3.95684</f>
        <v>3.9568400000000001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0</v>
      </c>
      <c r="F273" s="312">
        <f t="shared" ref="F273:I273" si="16">F262+F267+F268+F271+F272</f>
        <v>105.45262</v>
      </c>
      <c r="G273" s="312">
        <f t="shared" si="16"/>
        <v>1721.3547100000001</v>
      </c>
      <c r="H273" s="312">
        <f>H262+H267+H268+H271+H272</f>
        <v>27006.64529</v>
      </c>
      <c r="I273" s="312">
        <f t="shared" si="16"/>
        <v>3107.70633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8" t="s">
        <v>116</v>
      </c>
      <c r="D288" s="328"/>
      <c r="E288" s="328"/>
      <c r="F288" s="328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925.07792999999992</v>
      </c>
      <c r="G294" s="82">
        <f>D294-F294</f>
        <v>-146.07792999999992</v>
      </c>
      <c r="H294" s="25">
        <f>SUM(H295:H296)</f>
        <v>1023.20588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684.16675</f>
        <v>684.16674999999998</v>
      </c>
      <c r="G295" s="199"/>
      <c r="H295" s="198">
        <f>778.94708</f>
        <v>778.94708000000003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244.2588</f>
        <v>244.25880000000001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649.3981</v>
      </c>
      <c r="G297" s="82">
        <f>D297-F297</f>
        <v>129.6019</v>
      </c>
      <c r="H297" s="25">
        <f>SUM(H298:H299)</f>
        <v>986.35825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510.748</f>
        <v>510.74799999999999</v>
      </c>
      <c r="G298" s="94"/>
      <c r="H298" s="29">
        <f>763.96923</f>
        <v>763.96923000000004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138.6501</f>
        <v>138.65010000000001</v>
      </c>
      <c r="G299" s="105"/>
      <c r="H299" s="29">
        <f>222.38902</f>
        <v>222.38901999999999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39.329599999999999</v>
      </c>
      <c r="F300" s="34">
        <f>SUM(F301:F302)</f>
        <v>242.31765000000001</v>
      </c>
      <c r="G300" s="82">
        <f>D300-F300</f>
        <v>537.68235000000004</v>
      </c>
      <c r="H300" s="34">
        <f>SUM(H301:H302)</f>
        <v>410.15586999999999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31.19</f>
        <v>31.19</v>
      </c>
      <c r="F301" s="29">
        <f>182.1524</f>
        <v>182.1524</v>
      </c>
      <c r="G301" s="94"/>
      <c r="H301" s="29">
        <f>274.04908</f>
        <v>274.04908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8.1396</f>
        <v>8.1395999999999997</v>
      </c>
      <c r="F302" s="29">
        <f>60.16525</f>
        <v>60.16525</v>
      </c>
      <c r="G302" s="105"/>
      <c r="H302" s="29">
        <f>136.10679</f>
        <v>136.10678999999999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39.329599999999999</v>
      </c>
      <c r="F304" s="39">
        <f>F294+F297+F300+F303</f>
        <v>1816.7936799999998</v>
      </c>
      <c r="G304" s="40">
        <f>D304-F304</f>
        <v>521.20632000000023</v>
      </c>
      <c r="H304" s="39">
        <f>H294+H297+H300+H303</f>
        <v>2419.7199999999998</v>
      </c>
      <c r="I304" s="26"/>
      <c r="J304" s="127"/>
    </row>
    <row r="305" spans="1:10" ht="42" customHeight="1" x14ac:dyDescent="0.35">
      <c r="A305" s="223"/>
      <c r="B305" s="230"/>
      <c r="C305" s="330" t="s">
        <v>111</v>
      </c>
      <c r="D305" s="330"/>
      <c r="E305" s="330"/>
      <c r="F305" s="330"/>
      <c r="G305" s="330"/>
      <c r="H305" s="330"/>
      <c r="I305" s="330"/>
      <c r="J305" s="331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8" t="s">
        <v>155</v>
      </c>
      <c r="D316" s="328"/>
      <c r="E316" s="328"/>
      <c r="F316" s="328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5" customHeight="1" x14ac:dyDescent="0.35">
      <c r="A322" s="223"/>
      <c r="B322" s="69"/>
      <c r="C322" s="236" t="s">
        <v>133</v>
      </c>
      <c r="D322" s="237">
        <v>238</v>
      </c>
      <c r="E322" s="29">
        <f>0.76277</f>
        <v>0.76276999999999995</v>
      </c>
      <c r="F322" s="29">
        <f>61.80387</f>
        <v>61.803870000000003</v>
      </c>
      <c r="G322" s="238">
        <f>D322-F322</f>
        <v>176.19612999999998</v>
      </c>
      <c r="H322" s="29">
        <f>61.72757</f>
        <v>61.72757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13.16238</f>
        <v>13.162380000000001</v>
      </c>
      <c r="F323" s="29">
        <f>192.23662</f>
        <v>192.23661999999999</v>
      </c>
      <c r="G323" s="241">
        <f>D323-F323</f>
        <v>21044.76338</v>
      </c>
      <c r="H323" s="29">
        <f>186.81209</f>
        <v>186.81209000000001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13.92515</v>
      </c>
      <c r="F324" s="39">
        <f>F323+F322</f>
        <v>254.04048999999998</v>
      </c>
      <c r="G324" s="39">
        <f>G323+G322</f>
        <v>21220.959510000001</v>
      </c>
      <c r="H324" s="39">
        <f>H323+H322</f>
        <v>248.53966000000003</v>
      </c>
      <c r="I324" s="26"/>
      <c r="J324" s="127"/>
    </row>
    <row r="325" spans="1:10" ht="22.5" customHeight="1" x14ac:dyDescent="0.35">
      <c r="A325" s="223"/>
      <c r="B325" s="69"/>
      <c r="C325" s="326" t="s">
        <v>156</v>
      </c>
      <c r="D325" s="326"/>
      <c r="E325" s="326"/>
      <c r="F325" s="326"/>
      <c r="G325" s="326"/>
      <c r="H325" s="326"/>
      <c r="I325" s="326"/>
      <c r="J325" s="327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25" t="s">
        <v>128</v>
      </c>
      <c r="D337" s="325"/>
      <c r="E337" s="325"/>
      <c r="F337" s="325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26" t="s">
        <v>135</v>
      </c>
      <c r="D346" s="326"/>
      <c r="E346" s="326"/>
      <c r="F346" s="326"/>
      <c r="G346" s="326"/>
      <c r="H346" s="326"/>
      <c r="I346" s="326"/>
      <c r="J346" s="327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15&amp;R13.04.2026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2026-04-13T11:57:19Z</dcterms:modified>
</cp:coreProperties>
</file>