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gugje\Ukestatistikken\2020\"/>
    </mc:Choice>
  </mc:AlternateContent>
  <bookViews>
    <workbookView xWindow="0" yWindow="0" windowWidth="29010" windowHeight="14145" tabRatio="413"/>
  </bookViews>
  <sheets>
    <sheet name="UKE_28_2020" sheetId="1" r:id="rId1"/>
  </sheets>
  <definedNames>
    <definedName name="Z_14D440E4_F18A_4F78_9989_38C1B133222D_.wvu.Cols" localSheetId="0" hidden="1">UKE_28_2020!#REF!</definedName>
    <definedName name="Z_14D440E4_F18A_4F78_9989_38C1B133222D_.wvu.PrintArea" localSheetId="0" hidden="1">UKE_28_2020!$B$1:$M$249</definedName>
    <definedName name="Z_14D440E4_F18A_4F78_9989_38C1B133222D_.wvu.Rows" localSheetId="0" hidden="1">UKE_28_2020!$361:$1048576,UKE_28_2020!$250:$360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129" i="1" l="1"/>
  <c r="G128" i="1"/>
  <c r="G123" i="1"/>
  <c r="G127" i="1"/>
  <c r="J32" i="1" l="1"/>
  <c r="G32" i="1"/>
  <c r="F32" i="1"/>
  <c r="F178" i="1" l="1"/>
  <c r="G178" i="1"/>
  <c r="I119" i="1" l="1"/>
  <c r="F24" i="1"/>
  <c r="G31" i="1" l="1"/>
  <c r="F31" i="1"/>
  <c r="I132" i="1" l="1"/>
  <c r="D229" i="1" l="1"/>
  <c r="J24" i="1" l="1"/>
  <c r="J31" i="1" l="1"/>
  <c r="J23" i="1" s="1"/>
  <c r="G33" i="1" l="1"/>
  <c r="G29" i="1" l="1"/>
  <c r="H136" i="1" l="1"/>
  <c r="I89" i="1" l="1"/>
  <c r="G20" i="1" l="1"/>
  <c r="H60" i="1" l="1"/>
  <c r="D53" i="1" l="1"/>
  <c r="D208" i="1" l="1"/>
  <c r="D161" i="1" l="1"/>
  <c r="D152" i="1"/>
  <c r="E134" i="1"/>
  <c r="E131" i="1"/>
  <c r="D130" i="1"/>
  <c r="E125" i="1"/>
  <c r="E124" i="1" s="1"/>
  <c r="D125" i="1"/>
  <c r="D124" i="1" s="1"/>
  <c r="E119" i="1"/>
  <c r="D119" i="1"/>
  <c r="H113" i="1"/>
  <c r="F113" i="1"/>
  <c r="D113" i="1"/>
  <c r="E138" i="1" l="1"/>
  <c r="D138" i="1"/>
  <c r="I25" i="1"/>
  <c r="H11" i="1" l="1"/>
  <c r="D171" i="1" l="1"/>
  <c r="H39" i="1" l="1"/>
  <c r="E24" i="1" l="1"/>
  <c r="E20" i="1"/>
  <c r="E31" i="1"/>
  <c r="E23" i="1" l="1"/>
  <c r="G24" i="1" l="1"/>
  <c r="I21" i="1" l="1"/>
  <c r="D31" i="1" l="1"/>
  <c r="D24" i="1"/>
  <c r="D20" i="1"/>
  <c r="D89" i="1"/>
  <c r="D88" i="1" s="1"/>
  <c r="D85" i="1"/>
  <c r="D178" i="1"/>
  <c r="D189" i="1" s="1"/>
  <c r="D99" i="1" l="1"/>
  <c r="D23" i="1"/>
  <c r="D39" i="1" s="1"/>
  <c r="F60" i="1" l="1"/>
  <c r="E60" i="1"/>
  <c r="H66" i="1"/>
  <c r="D201" i="1"/>
  <c r="H78" i="1"/>
  <c r="F78" i="1"/>
  <c r="D78" i="1"/>
  <c r="H14" i="1"/>
  <c r="F14" i="1"/>
  <c r="D14" i="1"/>
  <c r="E39" i="1" l="1"/>
  <c r="H171" i="1"/>
  <c r="F171" i="1"/>
  <c r="D245" i="1" l="1"/>
  <c r="H241" i="1"/>
  <c r="F241" i="1"/>
  <c r="G241" i="1" s="1"/>
  <c r="E241" i="1"/>
  <c r="H238" i="1"/>
  <c r="F238" i="1"/>
  <c r="G238" i="1" s="1"/>
  <c r="E238" i="1"/>
  <c r="H235" i="1"/>
  <c r="F235" i="1"/>
  <c r="G235" i="1" s="1"/>
  <c r="E235" i="1"/>
  <c r="G245" i="1" l="1"/>
  <c r="E245" i="1"/>
  <c r="H245" i="1"/>
  <c r="F245" i="1"/>
  <c r="G209" i="1" l="1"/>
  <c r="G210" i="1"/>
  <c r="G211" i="1"/>
  <c r="G208" i="1"/>
  <c r="G59" i="1" l="1"/>
  <c r="G57" i="1"/>
  <c r="D66" i="1" l="1"/>
  <c r="H187" i="1" l="1"/>
  <c r="H183" i="1"/>
  <c r="H182" i="1"/>
  <c r="H181" i="1"/>
  <c r="H180" i="1"/>
  <c r="H179" i="1"/>
  <c r="H137" i="1" l="1"/>
  <c r="H135" i="1"/>
  <c r="H134" i="1"/>
  <c r="H133" i="1"/>
  <c r="H131" i="1"/>
  <c r="H127" i="1"/>
  <c r="H128" i="1"/>
  <c r="H129" i="1"/>
  <c r="H126" i="1"/>
  <c r="H123" i="1"/>
  <c r="H122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30" i="1"/>
  <c r="I26" i="1"/>
  <c r="I27" i="1"/>
  <c r="I28" i="1"/>
  <c r="I22" i="1"/>
  <c r="I20" i="1" l="1"/>
  <c r="H125" i="1"/>
  <c r="H119" i="1"/>
  <c r="H97" i="1" l="1"/>
  <c r="I184" i="1" l="1"/>
  <c r="I33" i="1" l="1"/>
  <c r="F132" i="1" l="1"/>
  <c r="F125" i="1" l="1"/>
  <c r="F124" i="1" s="1"/>
  <c r="I29" i="1" l="1"/>
  <c r="I125" i="1" l="1"/>
  <c r="I124" i="1" s="1"/>
  <c r="I138" i="1" s="1"/>
  <c r="G23" i="1" l="1"/>
  <c r="G39" i="1" s="1"/>
  <c r="I178" i="1"/>
  <c r="I189" i="1" s="1"/>
  <c r="F23" i="1"/>
  <c r="I31" i="1" l="1"/>
  <c r="I24" i="1"/>
  <c r="H89" i="1"/>
  <c r="H88" i="1" s="1"/>
  <c r="I23" i="1" l="1"/>
  <c r="F184" i="1" l="1"/>
  <c r="F189" i="1" s="1"/>
  <c r="G184" i="1"/>
  <c r="H184" i="1" s="1"/>
  <c r="G132" i="1"/>
  <c r="H132" i="1" s="1"/>
  <c r="D212" i="1" l="1"/>
  <c r="F161" i="1" l="1"/>
  <c r="E161" i="1"/>
  <c r="G160" i="1"/>
  <c r="G159" i="1"/>
  <c r="G158" i="1"/>
  <c r="H130" i="1"/>
  <c r="H124" i="1" s="1"/>
  <c r="G125" i="1"/>
  <c r="G119" i="1"/>
  <c r="F119" i="1"/>
  <c r="F138" i="1" s="1"/>
  <c r="G64" i="1"/>
  <c r="F66" i="1"/>
  <c r="G66" i="1" s="1"/>
  <c r="E66" i="1"/>
  <c r="G124" i="1" l="1"/>
  <c r="G138" i="1" s="1"/>
  <c r="G161" i="1"/>
  <c r="G60" i="1"/>
  <c r="H138" i="1" l="1"/>
  <c r="I88" i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8" i="1"/>
  <c r="I37" i="1"/>
  <c r="J20" i="1"/>
  <c r="J39" i="1" s="1"/>
  <c r="F20" i="1"/>
  <c r="I99" i="1" l="1"/>
  <c r="I39" i="1"/>
  <c r="E99" i="1"/>
  <c r="F39" i="1"/>
  <c r="H99" i="1"/>
  <c r="G99" i="1"/>
  <c r="F99" i="1"/>
  <c r="F212" i="1" l="1"/>
  <c r="E212" i="1" l="1"/>
  <c r="G189" i="1" l="1"/>
  <c r="E178" i="1"/>
  <c r="H212" i="1" l="1"/>
  <c r="H161" i="1" l="1"/>
  <c r="G212" i="1" l="1"/>
  <c r="H207" i="1"/>
  <c r="H234" i="1" s="1"/>
  <c r="G207" i="1"/>
  <c r="F207" i="1"/>
  <c r="F234" i="1" s="1"/>
  <c r="E207" i="1"/>
  <c r="E234" i="1" s="1"/>
  <c r="H188" i="1"/>
  <c r="E189" i="1"/>
  <c r="I177" i="1"/>
  <c r="H177" i="1"/>
  <c r="G177" i="1"/>
  <c r="F177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<sst xmlns="http://schemas.openxmlformats.org/spreadsheetml/2006/main" count="257" uniqueCount="134">
  <si>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</si>
  <si>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</si>
  <si>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</si>
  <si>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</si>
  <si>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</si>
  <si>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</si>
  <si>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</si>
  <si>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</si>
  <si>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</si>
  <si>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</si>
  <si>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</si>
  <si>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</si>
  <si>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</si>
  <si>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</si>
  <si>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</si>
  <si>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</si>
  <si>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</si>
  <si>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</si>
  <si>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</si>
  <si>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</si>
  <si>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</si>
  <si>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</si>
  <si>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</si>
  <si>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</si>
  <si>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</si>
  <si>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</si>
  <si>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</si>
  <si>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</si>
  <si>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</si>
  <si>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</si>
  <si>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</si>
  <si>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</si>
  <si>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</si>
  <si>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</si>
  <si>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</si>
  <si>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</si>
  <si>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</si>
  <si>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</si>
  <si>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</si>
  <si>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</si>
  <si>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</si>
  <si>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</si>
  <si>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</si>
  <si>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</si>
  <si>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</si>
  <si>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</si>
  <si>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</si>
  <si>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</si>
  <si>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</si>
  <si>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</si>
  <si>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</si>
  <si>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</si>
  <si>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</si>
  <si>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</si>
  <si>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</si>
  <si>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</si>
  <si>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</si>
  <si>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</si>
  <si>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</si>
  <si>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</si>
  <si>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</si>
  <si>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</si>
  <si>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</si>
  <si>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</si>
  <si>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</si>
  <si>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</si>
  <si>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</si>
  <si>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</si>
  <si>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</si>
  <si>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</si>
  <si>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</si>
  <si>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</si>
  <si>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</si>
  <si>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</si>
  <si>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</si>
  <si>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</si>
  <si>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</si>
  <si>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</si>
  <si>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</si>
  <si>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</si>
  <si>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</si>
  <si>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</si>
  <si>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</si>
  <si>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</si>
  <si>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</si>
  <si>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</si>
  <si>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</si>
  <si>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</si>
  <si>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</si>
  <si>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</si>
  <si>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</si>
  <si>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</si>
  <si>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</si>
  <si>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</si>
  <si>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</si>
  <si>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</si>
  <si>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</si>
  <si>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</si>
  <si>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</si>
  <si>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</si>
  <si>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</si>
  <si>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t>LANDET KVANTUM AV TORSK, HYSE, SEI, BLÅKVEITE, SNABELUER OG REKER I 2020</t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</si>
  <si>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</si>
  <si>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</si>
  <si>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2019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</si>
  <si>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</si>
  <si>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 100 tonn er trukket fra gruppekvoten for å dekke estimert bifagnst som gikk til oppmaling i 2019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</si>
  <si>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</si>
  <si>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5 300 tonn avsatt til rekrutteringsordningen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</si>
  <si>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</si>
  <si>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</si>
  <si>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2019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</si>
  <si>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</si>
  <si>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</si>
  <si>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</si>
  <si>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</si>
  <si>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</si>
  <si>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1 492 tonn avsatt til rekrutteringsordningen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</si>
  <si>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4 700 tonn, periodekvote andre periode: 3 100 tonn, bifangstavsetning: 278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</si>
  <si>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139 tonn til forsknings- og undervisningskvoter, 2000 tonn til fangst innenfor ungdomsfiskeordningen og rekreasjonsfiske, 250 tonn til agnformål og 1 472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</si>
  <si>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1 472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</si>
  <si>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35 tonn til forsknings- og undervisningsformål</t>
    </r>
  </si>
  <si>
    <r>
      <t xml:space="preserve">2 </t>
    </r>
    <r>
      <rPr>
        <sz val="9"/>
        <color theme="1"/>
        <rFont val="Calibri"/>
        <family val="2"/>
      </rPr>
      <t>12 055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</si>
  <si>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2 290</t>
    </r>
    <r>
      <rPr>
        <sz val="9"/>
        <color theme="1"/>
        <rFont val="Calibri"/>
        <family val="2"/>
      </rPr>
      <t xml:space="preserve"> tonn i Fiskevernsonen ved Svalbard og 3 296 tonn i internasjonalt farvann i Norskehavet. I tillegg er det avsatt 1 000 tonn snabeluer til EU-fartøys fiske. </t>
    </r>
  </si>
  <si>
    <t xml:space="preserve">  Av den norske kvoten er det avsatt 50 tonn til forsknings- og undervisningsformål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</si>
  <si>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</si>
  <si>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2 812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</si>
  <si>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9 100 tonn er overført fra ubenyttet tredjelandskvote til norsk totalkvote</t>
    </r>
  </si>
  <si>
    <t>LANDET KVANTUM UKE 28</t>
  </si>
  <si>
    <t>LANDET KVANTUM T.O.M UKE 28</t>
  </si>
  <si>
    <t>LANDET KVANTUM T.O.M. UKE 28 2019</t>
  </si>
  <si>
    <r>
      <t xml:space="preserve">3 </t>
    </r>
    <r>
      <rPr>
        <sz val="9"/>
        <color theme="1"/>
        <rFont val="Calibri"/>
        <family val="2"/>
      </rPr>
      <t>Registrert rekreasjonsfiske utgjør 2 019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</si>
  <si>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48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</si>
  <si>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356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</si>
</sst>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 * #,##0_ ;_ * \-#,##0_ ;_ * &quot;-&quot;??_ ;_ @_ "/>
    <numFmt numFmtId="166" formatCode="dd\.mm\.yyyy"/>
    <numFmt numFmtId="167" formatCode="_-* #,##0_-;\-* #,##0_-;_-* &quot;-&quot;??_-;_-@_-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  <font>
      <sz val="11"/>
      <color theme="1"/>
      <name val="MS Sans Serif"/>
    </font>
    <font>
      <vertAlign val="superscript"/>
      <sz val="9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4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5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0" applyNumberFormat="0" applyFill="0" applyAlignment="0" applyProtection="0"/>
    <xf numFmtId="0" fontId="46" fillId="0" borderId="41" applyNumberFormat="0" applyFill="0" applyAlignment="0" applyProtection="0"/>
    <xf numFmtId="0" fontId="47" fillId="0" borderId="42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4" applyNumberFormat="0" applyAlignment="0" applyProtection="0"/>
    <xf numFmtId="0" fontId="51" fillId="3" borderId="43" applyNumberFormat="0" applyAlignment="0" applyProtection="0"/>
    <xf numFmtId="0" fontId="19" fillId="3" borderId="24" applyNumberFormat="0" applyAlignment="0" applyProtection="0"/>
    <xf numFmtId="0" fontId="20" fillId="0" borderId="25" applyNumberFormat="0" applyFill="0" applyAlignment="0" applyProtection="0"/>
    <xf numFmtId="0" fontId="52" fillId="8" borderId="44" applyNumberFormat="0" applyAlignment="0" applyProtection="0"/>
    <xf numFmtId="0" fontId="53" fillId="0" borderId="0" applyNumberFormat="0" applyFill="0" applyBorder="0" applyAlignment="0" applyProtection="0"/>
    <xf numFmtId="0" fontId="17" fillId="9" borderId="45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6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4" fillId="0" borderId="0"/>
    <xf numFmtId="49" fontId="64" fillId="0" borderId="0"/>
    <xf numFmtId="49" fontId="64" fillId="0" borderId="0"/>
    <xf numFmtId="0" fontId="64" fillId="0" borderId="0"/>
    <xf numFmtId="0" fontId="64" fillId="0" borderId="0"/>
  </cellStyleXfs>
  <cellXfs count="432">
    <xf numFmtId="0" fontId="0" fillId="0" borderId="0" xfId="0"/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29" fillId="0" borderId="18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18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165" fontId="0" fillId="0" borderId="18" xfId="1" applyNumberFormat="1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2" xfId="0" applyFill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8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18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37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2" xfId="0" applyNumberFormat="1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0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39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6" xfId="0" applyFont="1" applyBorder="1" applyAlignment="1">
      <alignment vertical="center" wrapText="1"/>
    </xf>
    <xf numFmtId="0" fontId="23" fillId="0" borderId="27" xfId="0" applyFont="1" applyBorder="1" applyAlignment="1">
      <alignment vertical="center" wrapText="1"/>
    </xf>
    <xf numFmtId="0" fontId="23" fillId="0" borderId="33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6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29" xfId="1" applyNumberFormat="1" applyFont="1" applyFill="1" applyBorder="1" applyAlignment="1">
      <alignment vertical="center"/>
    </xf>
    <xf numFmtId="3" fontId="22" fillId="0" borderId="28" xfId="1" applyNumberFormat="1" applyFont="1" applyFill="1" applyBorder="1" applyAlignment="1">
      <alignment vertical="center"/>
    </xf>
    <xf numFmtId="3" fontId="24" fillId="4" borderId="29" xfId="1" applyNumberFormat="1" applyFont="1" applyFill="1" applyBorder="1" applyAlignment="1">
      <alignment vertical="center" wrapText="1"/>
    </xf>
    <xf numFmtId="3" fontId="8" fillId="4" borderId="47" xfId="0" applyNumberFormat="1" applyFont="1" applyFill="1" applyBorder="1" applyAlignment="1">
      <alignment vertical="center" wrapText="1"/>
    </xf>
    <xf numFmtId="3" fontId="0" fillId="0" borderId="18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3" fontId="8" fillId="4" borderId="29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10" fillId="0" borderId="36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2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2" xfId="0" applyFont="1" applyFill="1" applyBorder="1" applyAlignment="1">
      <alignment vertical="center" wrapText="1"/>
    </xf>
    <xf numFmtId="0" fontId="0" fillId="0" borderId="22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8" fillId="4" borderId="60" xfId="0" applyNumberFormat="1" applyFont="1" applyFill="1" applyBorder="1" applyAlignment="1">
      <alignment vertical="center" wrapText="1"/>
    </xf>
    <xf numFmtId="0" fontId="24" fillId="4" borderId="61" xfId="0" applyFont="1" applyFill="1" applyBorder="1" applyAlignment="1">
      <alignment horizontal="center" vertical="center" wrapText="1"/>
    </xf>
    <xf numFmtId="0" fontId="11" fillId="0" borderId="62" xfId="0" applyFont="1" applyBorder="1" applyAlignment="1">
      <alignment horizontal="center" vertical="center" wrapText="1"/>
    </xf>
    <xf numFmtId="3" fontId="23" fillId="0" borderId="47" xfId="0" applyNumberFormat="1" applyFont="1" applyBorder="1" applyAlignment="1">
      <alignment vertical="center" wrapText="1"/>
    </xf>
    <xf numFmtId="3" fontId="23" fillId="0" borderId="47" xfId="0" applyNumberFormat="1" applyFont="1" applyFill="1" applyBorder="1" applyAlignment="1">
      <alignment vertical="center" wrapText="1"/>
    </xf>
    <xf numFmtId="3" fontId="22" fillId="0" borderId="65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0" fillId="0" borderId="64" xfId="0" applyNumberFormat="1" applyFont="1" applyFill="1" applyBorder="1" applyAlignment="1">
      <alignment vertical="center"/>
    </xf>
    <xf numFmtId="3" fontId="23" fillId="0" borderId="29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5" xfId="0" applyNumberFormat="1" applyFont="1" applyFill="1" applyBorder="1" applyAlignment="1">
      <alignment vertical="center" wrapText="1"/>
    </xf>
    <xf numFmtId="3" fontId="12" fillId="0" borderId="63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3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3" xfId="0" applyNumberFormat="1" applyFont="1" applyFill="1" applyBorder="1" applyAlignment="1">
      <alignment vertical="center" wrapText="1"/>
    </xf>
    <xf numFmtId="3" fontId="5" fillId="0" borderId="64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0" fontId="5" fillId="0" borderId="31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4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48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5" fillId="0" borderId="50" xfId="0" applyFont="1" applyFill="1" applyBorder="1" applyAlignment="1">
      <alignment vertical="center" wrapText="1"/>
    </xf>
    <xf numFmtId="0" fontId="23" fillId="0" borderId="31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1" xfId="0" applyFont="1" applyFill="1" applyBorder="1" applyAlignment="1">
      <alignment vertical="center" wrapText="1"/>
    </xf>
    <xf numFmtId="0" fontId="11" fillId="0" borderId="49" xfId="0" applyFont="1" applyFill="1" applyBorder="1" applyAlignment="1">
      <alignment vertical="center" wrapText="1"/>
    </xf>
    <xf numFmtId="0" fontId="12" fillId="0" borderId="49" xfId="0" applyFont="1" applyFill="1" applyBorder="1" applyAlignment="1">
      <alignment vertical="center" wrapText="1"/>
    </xf>
    <xf numFmtId="0" fontId="12" fillId="0" borderId="50" xfId="0" applyFont="1" applyFill="1" applyBorder="1" applyAlignment="1">
      <alignment vertical="center" wrapText="1"/>
    </xf>
    <xf numFmtId="0" fontId="23" fillId="0" borderId="53" xfId="0" applyFont="1" applyFill="1" applyBorder="1" applyAlignment="1">
      <alignment vertical="center" wrapText="1"/>
    </xf>
    <xf numFmtId="0" fontId="0" fillId="0" borderId="34" xfId="0" applyFill="1" applyBorder="1" applyAlignment="1">
      <alignment vertical="center"/>
    </xf>
    <xf numFmtId="3" fontId="0" fillId="0" borderId="35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1" xfId="0" applyFill="1" applyBorder="1" applyAlignment="1">
      <alignment vertical="center"/>
    </xf>
    <xf numFmtId="3" fontId="0" fillId="0" borderId="37" xfId="0" applyNumberFormat="1" applyFont="1" applyFill="1" applyBorder="1" applyAlignment="1">
      <alignment horizontal="right" vertical="center" indent="1"/>
    </xf>
    <xf numFmtId="0" fontId="0" fillId="0" borderId="31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5" xfId="0" applyNumberFormat="1" applyFill="1" applyBorder="1" applyAlignment="1">
      <alignment horizontal="right" vertical="center" indent="1"/>
    </xf>
    <xf numFmtId="3" fontId="0" fillId="0" borderId="36" xfId="0" applyNumberFormat="1" applyFill="1" applyBorder="1" applyAlignment="1">
      <alignment vertical="center"/>
    </xf>
    <xf numFmtId="3" fontId="0" fillId="0" borderId="36" xfId="0" applyNumberFormat="1" applyFill="1" applyBorder="1" applyAlignment="1">
      <alignment horizontal="right" vertical="center" indent="1"/>
    </xf>
    <xf numFmtId="3" fontId="0" fillId="0" borderId="37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3" xfId="0" applyNumberFormat="1" applyFont="1" applyFill="1" applyBorder="1" applyAlignment="1">
      <alignment vertical="center"/>
    </xf>
    <xf numFmtId="3" fontId="22" fillId="0" borderId="47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3" xfId="0" applyFont="1" applyBorder="1" applyAlignment="1">
      <alignment vertical="center"/>
    </xf>
    <xf numFmtId="3" fontId="23" fillId="0" borderId="56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37" xfId="0" applyNumberFormat="1" applyFont="1" applyFill="1" applyBorder="1" applyAlignment="1">
      <alignment vertical="center" wrapText="1"/>
    </xf>
    <xf numFmtId="3" fontId="23" fillId="0" borderId="54" xfId="0" applyNumberFormat="1" applyFont="1" applyFill="1" applyBorder="1" applyAlignment="1">
      <alignment vertical="center" wrapText="1"/>
    </xf>
    <xf numFmtId="0" fontId="57" fillId="0" borderId="0" xfId="0" applyFont="1" applyFill="1" applyBorder="1" applyAlignment="1">
      <alignment vertical="center"/>
    </xf>
    <xf numFmtId="3" fontId="43" fillId="0" borderId="65" xfId="0" applyNumberFormat="1" applyFont="1" applyFill="1" applyBorder="1" applyAlignment="1">
      <alignment vertical="center" wrapText="1"/>
    </xf>
    <xf numFmtId="3" fontId="59" fillId="0" borderId="63" xfId="0" applyNumberFormat="1" applyFont="1" applyFill="1" applyBorder="1" applyAlignment="1">
      <alignment vertical="center" wrapText="1"/>
    </xf>
    <xf numFmtId="3" fontId="60" fillId="0" borderId="63" xfId="0" applyNumberFormat="1" applyFont="1" applyFill="1" applyBorder="1" applyAlignment="1">
      <alignment vertical="center" wrapText="1"/>
    </xf>
    <xf numFmtId="3" fontId="61" fillId="0" borderId="63" xfId="0" applyNumberFormat="1" applyFont="1" applyFill="1" applyBorder="1" applyAlignment="1">
      <alignment vertical="center" wrapText="1"/>
    </xf>
    <xf numFmtId="3" fontId="61" fillId="0" borderId="64" xfId="0" applyNumberFormat="1" applyFont="1" applyFill="1" applyBorder="1" applyAlignment="1">
      <alignment vertical="center" wrapText="1"/>
    </xf>
    <xf numFmtId="3" fontId="43" fillId="0" borderId="47" xfId="0" applyNumberFormat="1" applyFont="1" applyFill="1" applyBorder="1" applyAlignment="1">
      <alignment vertical="center" wrapText="1"/>
    </xf>
    <xf numFmtId="3" fontId="58" fillId="4" borderId="47" xfId="0" applyNumberFormat="1" applyFont="1" applyFill="1" applyBorder="1" applyAlignment="1">
      <alignment vertical="center" wrapText="1"/>
    </xf>
    <xf numFmtId="3" fontId="60" fillId="0" borderId="64" xfId="0" applyNumberFormat="1" applyFont="1" applyFill="1" applyBorder="1" applyAlignment="1">
      <alignment vertical="center" wrapText="1"/>
    </xf>
    <xf numFmtId="3" fontId="59" fillId="0" borderId="71" xfId="0" applyNumberFormat="1" applyFont="1" applyFill="1" applyBorder="1" applyAlignment="1">
      <alignment vertical="center" wrapText="1"/>
    </xf>
    <xf numFmtId="0" fontId="58" fillId="4" borderId="39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72" xfId="0" applyFont="1" applyFill="1" applyBorder="1" applyAlignment="1">
      <alignment vertical="center" wrapText="1"/>
    </xf>
    <xf numFmtId="3" fontId="23" fillId="0" borderId="35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2" xfId="0" applyFont="1" applyFill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0" fontId="0" fillId="0" borderId="62" xfId="0" applyFont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43" fillId="0" borderId="57" xfId="0" applyNumberFormat="1" applyFont="1" applyFill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37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4" borderId="29" xfId="0" applyFont="1" applyFill="1" applyBorder="1" applyAlignment="1">
      <alignment horizontal="center" vertical="center" wrapText="1"/>
    </xf>
    <xf numFmtId="0" fontId="63" fillId="0" borderId="1" xfId="0" applyFont="1" applyBorder="1" applyAlignment="1">
      <alignment horizontal="left" vertical="center"/>
    </xf>
    <xf numFmtId="3" fontId="22" fillId="0" borderId="28" xfId="1" applyNumberFormat="1" applyFont="1" applyFill="1" applyBorder="1" applyAlignment="1">
      <alignment horizontal="right" vertical="center"/>
    </xf>
    <xf numFmtId="3" fontId="24" fillId="4" borderId="29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5" fillId="0" borderId="22" xfId="0" applyFont="1" applyFill="1" applyBorder="1" applyAlignment="1">
      <alignment vertical="center"/>
    </xf>
    <xf numFmtId="3" fontId="10" fillId="0" borderId="18" xfId="0" applyNumberFormat="1" applyFont="1" applyBorder="1" applyAlignment="1">
      <alignment vertical="center"/>
    </xf>
    <xf numFmtId="167" fontId="66" fillId="0" borderId="0" xfId="1" applyNumberFormat="1" applyFont="1" applyAlignment="1">
      <alignment vertical="top"/>
    </xf>
    <xf numFmtId="3" fontId="8" fillId="4" borderId="3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11" fillId="0" borderId="58" xfId="0" applyNumberFormat="1" applyFont="1" applyFill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3" fontId="23" fillId="0" borderId="39" xfId="0" applyNumberFormat="1" applyFont="1" applyBorder="1" applyAlignment="1">
      <alignment vertical="center" wrapText="1"/>
    </xf>
    <xf numFmtId="0" fontId="8" fillId="4" borderId="29" xfId="0" applyFont="1" applyFill="1" applyBorder="1" applyAlignment="1">
      <alignment horizontal="center"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5" fillId="0" borderId="26" xfId="0" applyNumberFormat="1" applyFont="1" applyFill="1" applyBorder="1" applyAlignment="1">
      <alignment vertical="center" wrapText="1"/>
    </xf>
    <xf numFmtId="3" fontId="5" fillId="0" borderId="27" xfId="0" applyNumberFormat="1" applyFont="1" applyFill="1" applyBorder="1" applyAlignment="1">
      <alignment vertical="center" wrapText="1"/>
    </xf>
    <xf numFmtId="3" fontId="23" fillId="0" borderId="5" xfId="0" applyNumberFormat="1" applyFont="1" applyFill="1" applyBorder="1" applyAlignment="1">
      <alignment vertical="center" wrapText="1"/>
    </xf>
    <xf numFmtId="3" fontId="23" fillId="0" borderId="1" xfId="0" applyNumberFormat="1" applyFont="1" applyFill="1" applyBorder="1" applyAlignment="1">
      <alignment vertical="center" wrapText="1"/>
    </xf>
    <xf numFmtId="3" fontId="12" fillId="0" borderId="33" xfId="0" applyNumberFormat="1" applyFont="1" applyFill="1" applyBorder="1" applyAlignment="1">
      <alignment vertical="center" wrapText="1"/>
    </xf>
    <xf numFmtId="3" fontId="11" fillId="0" borderId="26" xfId="0" applyNumberFormat="1" applyFont="1" applyFill="1" applyBorder="1" applyAlignment="1">
      <alignment vertical="center" wrapText="1"/>
    </xf>
    <xf numFmtId="3" fontId="12" fillId="0" borderId="26" xfId="0" applyNumberFormat="1" applyFont="1" applyFill="1" applyBorder="1" applyAlignment="1">
      <alignment vertical="center" wrapText="1"/>
    </xf>
    <xf numFmtId="3" fontId="12" fillId="0" borderId="27" xfId="0" applyNumberFormat="1" applyFont="1" applyFill="1" applyBorder="1" applyAlignment="1">
      <alignment vertical="center" wrapText="1"/>
    </xf>
    <xf numFmtId="3" fontId="23" fillId="0" borderId="6" xfId="0" applyNumberFormat="1" applyFont="1" applyFill="1" applyBorder="1" applyAlignment="1">
      <alignment vertical="center" wrapText="1"/>
    </xf>
    <xf numFmtId="3" fontId="23" fillId="0" borderId="1" xfId="0" applyNumberFormat="1" applyFont="1" applyBorder="1" applyAlignment="1">
      <alignment vertical="center" wrapText="1"/>
    </xf>
    <xf numFmtId="3" fontId="8" fillId="4" borderId="1" xfId="0" applyNumberFormat="1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 wrapText="1"/>
    </xf>
    <xf numFmtId="3" fontId="23" fillId="0" borderId="4" xfId="0" applyNumberFormat="1" applyFont="1" applyFill="1" applyBorder="1" applyAlignment="1">
      <alignment vertical="center" wrapText="1"/>
    </xf>
    <xf numFmtId="3" fontId="12" fillId="0" borderId="30" xfId="0" applyNumberFormat="1" applyFont="1" applyFill="1" applyBorder="1" applyAlignment="1">
      <alignment vertical="center" wrapText="1"/>
    </xf>
    <xf numFmtId="3" fontId="23" fillId="0" borderId="70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5" fillId="0" borderId="68" xfId="0" applyNumberFormat="1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12" fillId="0" borderId="67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22" fillId="0" borderId="52" xfId="1" applyNumberFormat="1" applyFont="1" applyFill="1" applyBorder="1" applyAlignment="1">
      <alignment vertical="center"/>
    </xf>
    <xf numFmtId="3" fontId="22" fillId="0" borderId="75" xfId="1" applyNumberFormat="1" applyFont="1" applyFill="1" applyBorder="1" applyAlignment="1">
      <alignment vertical="center"/>
    </xf>
    <xf numFmtId="3" fontId="24" fillId="4" borderId="52" xfId="1" applyNumberFormat="1" applyFont="1" applyFill="1" applyBorder="1" applyAlignment="1">
      <alignment vertical="center" wrapText="1"/>
    </xf>
    <xf numFmtId="3" fontId="22" fillId="0" borderId="1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vertical="center"/>
    </xf>
    <xf numFmtId="3" fontId="24" fillId="4" borderId="1" xfId="1" applyNumberFormat="1" applyFont="1" applyFill="1" applyBorder="1" applyAlignment="1">
      <alignment vertical="center" wrapText="1"/>
    </xf>
    <xf numFmtId="3" fontId="22" fillId="0" borderId="30" xfId="0" applyNumberFormat="1" applyFont="1" applyFill="1" applyBorder="1" applyAlignment="1">
      <alignment vertical="center"/>
    </xf>
    <xf numFmtId="3" fontId="0" fillId="0" borderId="26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1" xfId="0" applyNumberFormat="1" applyFont="1" applyFill="1" applyBorder="1" applyAlignment="1">
      <alignment vertical="center"/>
    </xf>
    <xf numFmtId="3" fontId="0" fillId="0" borderId="27" xfId="0" applyNumberFormat="1" applyFont="1" applyFill="1" applyBorder="1" applyAlignment="1">
      <alignment vertical="center"/>
    </xf>
    <xf numFmtId="3" fontId="22" fillId="0" borderId="6" xfId="0" applyNumberFormat="1" applyFont="1" applyFill="1" applyBorder="1" applyAlignment="1">
      <alignment vertical="center"/>
    </xf>
    <xf numFmtId="0" fontId="24" fillId="4" borderId="60" xfId="0" applyFont="1" applyFill="1" applyBorder="1" applyAlignment="1">
      <alignment horizontal="center" vertical="center" wrapText="1"/>
    </xf>
    <xf numFmtId="3" fontId="22" fillId="0" borderId="52" xfId="1" applyNumberFormat="1" applyFont="1" applyFill="1" applyBorder="1" applyAlignment="1">
      <alignment horizontal="right" vertical="center"/>
    </xf>
    <xf numFmtId="3" fontId="24" fillId="4" borderId="52" xfId="1" applyNumberFormat="1" applyFont="1" applyFill="1" applyBorder="1" applyAlignment="1">
      <alignment horizontal="right" vertical="center" wrapText="1"/>
    </xf>
    <xf numFmtId="3" fontId="22" fillId="0" borderId="30" xfId="1" applyNumberFormat="1" applyFont="1" applyFill="1" applyBorder="1" applyAlignment="1">
      <alignment vertical="center"/>
    </xf>
    <xf numFmtId="3" fontId="63" fillId="0" borderId="26" xfId="1" applyNumberFormat="1" applyFont="1" applyFill="1" applyBorder="1" applyAlignment="1">
      <alignment vertical="center"/>
    </xf>
    <xf numFmtId="3" fontId="63" fillId="0" borderId="6" xfId="1" applyNumberFormat="1" applyFont="1" applyFill="1" applyBorder="1" applyAlignment="1">
      <alignment vertical="center"/>
    </xf>
    <xf numFmtId="3" fontId="8" fillId="4" borderId="52" xfId="0" applyNumberFormat="1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59" fillId="0" borderId="26" xfId="0" applyNumberFormat="1" applyFont="1" applyFill="1" applyBorder="1" applyAlignment="1">
      <alignment vertical="center" wrapText="1"/>
    </xf>
    <xf numFmtId="3" fontId="59" fillId="0" borderId="62" xfId="0" applyNumberFormat="1" applyFont="1" applyFill="1" applyBorder="1" applyAlignment="1">
      <alignment vertical="center" wrapText="1"/>
    </xf>
    <xf numFmtId="3" fontId="60" fillId="0" borderId="26" xfId="0" applyNumberFormat="1" applyFont="1" applyFill="1" applyBorder="1" applyAlignment="1">
      <alignment vertical="center" wrapText="1"/>
    </xf>
    <xf numFmtId="3" fontId="61" fillId="0" borderId="26" xfId="0" applyNumberFormat="1" applyFont="1" applyFill="1" applyBorder="1" applyAlignment="1">
      <alignment vertical="center" wrapText="1"/>
    </xf>
    <xf numFmtId="3" fontId="61" fillId="0" borderId="27" xfId="0" applyNumberFormat="1" applyFont="1" applyFill="1" applyBorder="1" applyAlignment="1">
      <alignment vertical="center" wrapText="1"/>
    </xf>
    <xf numFmtId="3" fontId="43" fillId="0" borderId="6" xfId="0" applyNumberFormat="1" applyFont="1" applyFill="1" applyBorder="1" applyAlignment="1">
      <alignment vertical="center" wrapText="1"/>
    </xf>
    <xf numFmtId="3" fontId="43" fillId="0" borderId="1" xfId="0" applyNumberFormat="1" applyFont="1" applyFill="1" applyBorder="1" applyAlignment="1">
      <alignment vertical="center" wrapText="1"/>
    </xf>
    <xf numFmtId="0" fontId="8" fillId="4" borderId="60" xfId="0" applyFont="1" applyFill="1" applyBorder="1" applyAlignment="1">
      <alignment horizontal="center" vertical="center" wrapText="1"/>
    </xf>
    <xf numFmtId="3" fontId="43" fillId="0" borderId="75" xfId="0" applyNumberFormat="1" applyFont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11" fillId="0" borderId="76" xfId="0" applyNumberFormat="1" applyFont="1" applyFill="1" applyBorder="1" applyAlignment="1">
      <alignment vertical="center" wrapText="1"/>
    </xf>
    <xf numFmtId="3" fontId="11" fillId="0" borderId="77" xfId="0" applyNumberFormat="1" applyFont="1" applyFill="1" applyBorder="1" applyAlignment="1">
      <alignment vertical="center" wrapText="1"/>
    </xf>
    <xf numFmtId="3" fontId="23" fillId="0" borderId="52" xfId="0" applyNumberFormat="1" applyFont="1" applyFill="1" applyBorder="1" applyAlignment="1">
      <alignment vertical="center" wrapText="1"/>
    </xf>
    <xf numFmtId="3" fontId="23" fillId="0" borderId="36" xfId="0" applyNumberFormat="1" applyFont="1" applyBorder="1" applyAlignment="1">
      <alignment vertical="center" wrapText="1"/>
    </xf>
    <xf numFmtId="3" fontId="22" fillId="0" borderId="26" xfId="1" applyNumberFormat="1" applyFont="1" applyFill="1" applyBorder="1" applyAlignment="1">
      <alignment vertical="center"/>
    </xf>
    <xf numFmtId="3" fontId="22" fillId="0" borderId="27" xfId="1" applyNumberFormat="1" applyFont="1" applyFill="1" applyBorder="1" applyAlignment="1">
      <alignment vertical="center"/>
    </xf>
    <xf numFmtId="3" fontId="23" fillId="0" borderId="33" xfId="0" applyNumberFormat="1" applyFont="1" applyFill="1" applyBorder="1" applyAlignment="1">
      <alignment vertical="center" wrapText="1"/>
    </xf>
    <xf numFmtId="3" fontId="11" fillId="0" borderId="27" xfId="0" applyNumberFormat="1" applyFont="1" applyFill="1" applyBorder="1" applyAlignment="1">
      <alignment vertical="center" wrapText="1"/>
    </xf>
    <xf numFmtId="3" fontId="23" fillId="0" borderId="4" xfId="0" applyNumberFormat="1" applyFont="1" applyBorder="1" applyAlignment="1">
      <alignment vertical="center" wrapText="1"/>
    </xf>
    <xf numFmtId="3" fontId="22" fillId="0" borderId="66" xfId="1" applyNumberFormat="1" applyFont="1" applyFill="1" applyBorder="1" applyAlignment="1">
      <alignment vertical="center"/>
    </xf>
    <xf numFmtId="3" fontId="22" fillId="0" borderId="58" xfId="1" applyNumberFormat="1" applyFont="1" applyFill="1" applyBorder="1" applyAlignment="1">
      <alignment vertical="center"/>
    </xf>
    <xf numFmtId="3" fontId="22" fillId="0" borderId="59" xfId="1" applyNumberFormat="1" applyFont="1" applyFill="1" applyBorder="1" applyAlignment="1">
      <alignment vertical="center"/>
    </xf>
    <xf numFmtId="0" fontId="8" fillId="4" borderId="1" xfId="0" applyFont="1" applyFill="1" applyBorder="1" applyAlignment="1">
      <alignment horizontal="center" vertical="center"/>
    </xf>
    <xf numFmtId="3" fontId="60" fillId="0" borderId="27" xfId="0" applyNumberFormat="1" applyFont="1" applyFill="1" applyBorder="1" applyAlignment="1">
      <alignment vertical="center" wrapText="1"/>
    </xf>
    <xf numFmtId="3" fontId="8" fillId="4" borderId="79" xfId="0" applyNumberFormat="1" applyFont="1" applyFill="1" applyBorder="1" applyAlignment="1">
      <alignment vertical="center" wrapText="1"/>
    </xf>
    <xf numFmtId="3" fontId="22" fillId="0" borderId="34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2" fillId="0" borderId="53" xfId="1" applyNumberFormat="1" applyFont="1" applyFill="1" applyBorder="1" applyAlignment="1">
      <alignment horizontal="right" vertical="center"/>
    </xf>
    <xf numFmtId="3" fontId="22" fillId="0" borderId="55" xfId="1" applyNumberFormat="1" applyFont="1" applyFill="1" applyBorder="1" applyAlignment="1">
      <alignment horizontal="right" vertical="center"/>
    </xf>
    <xf numFmtId="3" fontId="22" fillId="0" borderId="56" xfId="1" applyNumberFormat="1" applyFont="1" applyFill="1" applyBorder="1" applyAlignment="1">
      <alignment horizontal="right" vertical="center"/>
    </xf>
    <xf numFmtId="3" fontId="22" fillId="0" borderId="57" xfId="1" applyNumberFormat="1" applyFont="1" applyFill="1" applyBorder="1" applyAlignment="1">
      <alignment horizontal="right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7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22" xfId="0" applyFont="1" applyFill="1" applyBorder="1" applyAlignment="1">
      <alignment horizontal="left" vertical="center" wrapText="1"/>
    </xf>
    <xf numFmtId="3" fontId="43" fillId="0" borderId="4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Fill="1" applyBorder="1" applyAlignment="1">
      <alignment horizontal="right" vertical="center" wrapText="1"/>
    </xf>
    <xf numFmtId="3" fontId="43" fillId="0" borderId="38" xfId="0" applyNumberFormat="1" applyFont="1" applyBorder="1" applyAlignment="1">
      <alignment horizontal="right" vertical="center" wrapText="1"/>
    </xf>
    <xf numFmtId="3" fontId="43" fillId="0" borderId="73" xfId="0" applyNumberFormat="1" applyFont="1" applyBorder="1" applyAlignment="1">
      <alignment horizontal="right" vertical="center" wrapText="1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0"/>
  <sheetViews>
    <sheetView showGridLines="0" showZeros="0" tabSelected="1" showRuler="0" view="pageLayout" zoomScaleNormal="115" workbookViewId="0">
      <selection activeCell="F224" sqref="F224"/>
    </sheetView>
  </sheetViews>
  <sheetFormatPr baseColWidth="10" defaultColWidth="0" defaultRowHeight="0" customHeight="1" zeroHeight="1" x14ac:dyDescent="0.25"/>
  <cols>
    <col min="1" max="1" width="0.5703125" style="69" customWidth="1"/>
    <col min="2" max="2" width="0.85546875" style="5" customWidth="1"/>
    <col min="3" max="3" width="32.42578125" style="5" customWidth="1"/>
    <col min="4" max="4" width="15" style="5" customWidth="1"/>
    <col min="5" max="5" width="16.42578125" style="5" bestFit="1" customWidth="1"/>
    <col min="6" max="6" width="13.5703125" style="5" customWidth="1"/>
    <col min="7" max="7" width="19.5703125" style="5" customWidth="1"/>
    <col min="8" max="8" width="18.42578125" style="5" customWidth="1"/>
    <col min="9" max="10" width="18.42578125" style="69" customWidth="1"/>
    <col min="11" max="11" width="0.5703125" style="5" customWidth="1"/>
    <col min="12" max="12" width="0.5703125" style="69" customWidth="1"/>
    <col min="13" max="13" width="1" style="69" hidden="1" customWidth="1"/>
    <col min="14" max="14" width="5.140625" hidden="1" customWidth="1"/>
    <col min="15" max="16" width="0" hidden="1" customWidth="1"/>
  </cols>
  <sheetData>
    <row r="1" spans="2:13" s="69" customFormat="1" ht="8.1" customHeight="1" thickBot="1" x14ac:dyDescent="0.3"/>
    <row r="2" spans="2:13" ht="31.5" customHeight="1" thickTop="1" thickBot="1" x14ac:dyDescent="0.3">
      <c r="B2" s="411" t="s">
        <v>101</v>
      </c>
      <c r="C2" s="412"/>
      <c r="D2" s="412"/>
      <c r="E2" s="412"/>
      <c r="F2" s="412"/>
      <c r="G2" s="412"/>
      <c r="H2" s="412"/>
      <c r="I2" s="412"/>
      <c r="J2" s="412"/>
      <c r="K2" s="413"/>
      <c r="L2" s="186"/>
      <c r="M2" s="186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6"/>
      <c r="K3" s="6"/>
      <c r="L3" s="116"/>
      <c r="M3" s="116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6"/>
      <c r="K4" s="6"/>
      <c r="L4" s="116"/>
      <c r="M4" s="116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6"/>
      <c r="K5" s="6"/>
      <c r="L5" s="116"/>
      <c r="M5" s="116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14"/>
      <c r="C7" s="415"/>
      <c r="D7" s="415"/>
      <c r="E7" s="415"/>
      <c r="F7" s="415"/>
      <c r="G7" s="415"/>
      <c r="H7" s="415"/>
      <c r="I7" s="415"/>
      <c r="J7" s="415"/>
      <c r="K7" s="416"/>
      <c r="L7" s="197"/>
      <c r="M7" s="197"/>
    </row>
    <row r="8" spans="2:13" ht="12" customHeight="1" thickBot="1" x14ac:dyDescent="0.3">
      <c r="B8" s="117"/>
      <c r="C8" s="116"/>
      <c r="D8" s="116"/>
      <c r="E8" s="116"/>
      <c r="F8" s="116"/>
      <c r="G8" s="116"/>
      <c r="H8" s="116"/>
      <c r="I8" s="116"/>
      <c r="J8" s="116"/>
      <c r="K8" s="118"/>
      <c r="L8" s="116"/>
      <c r="M8" s="116"/>
    </row>
    <row r="9" spans="2:13" s="3" customFormat="1" ht="14.1" customHeight="1" thickBot="1" x14ac:dyDescent="0.3">
      <c r="B9" s="115"/>
      <c r="C9" s="417" t="s">
        <v>2</v>
      </c>
      <c r="D9" s="418"/>
      <c r="E9" s="417" t="s">
        <v>20</v>
      </c>
      <c r="F9" s="418"/>
      <c r="G9" s="417" t="s">
        <v>21</v>
      </c>
      <c r="H9" s="418"/>
      <c r="I9" s="154"/>
      <c r="J9" s="154"/>
      <c r="K9" s="113"/>
      <c r="L9" s="134"/>
      <c r="M9" s="134"/>
    </row>
    <row r="10" spans="2:13" ht="14.1" customHeight="1" x14ac:dyDescent="0.25">
      <c r="B10" s="117"/>
      <c r="C10" s="162"/>
      <c r="D10" s="162"/>
      <c r="E10" s="162" t="s">
        <v>5</v>
      </c>
      <c r="F10" s="228">
        <v>102994</v>
      </c>
      <c r="G10" s="163" t="s">
        <v>25</v>
      </c>
      <c r="H10" s="228">
        <v>27228</v>
      </c>
      <c r="I10" s="164"/>
      <c r="J10" s="164"/>
      <c r="K10" s="113"/>
      <c r="L10" s="134"/>
      <c r="M10" s="134"/>
    </row>
    <row r="11" spans="2:13" ht="15.75" customHeight="1" x14ac:dyDescent="0.25">
      <c r="B11" s="117"/>
      <c r="C11" s="163" t="s">
        <v>27</v>
      </c>
      <c r="D11" s="167">
        <v>334277</v>
      </c>
      <c r="E11" s="163" t="s">
        <v>6</v>
      </c>
      <c r="F11" s="167">
        <v>212550</v>
      </c>
      <c r="G11" s="163" t="s">
        <v>78</v>
      </c>
      <c r="H11" s="167">
        <f>149852+15270</f>
        <v>165122</v>
      </c>
      <c r="I11" s="164"/>
      <c r="J11" s="164"/>
      <c r="K11" s="113"/>
      <c r="L11" s="134"/>
      <c r="M11" s="134"/>
    </row>
    <row r="12" spans="2:13" ht="14.25" customHeight="1" x14ac:dyDescent="0.25">
      <c r="B12" s="117"/>
      <c r="C12" s="163" t="s">
        <v>3</v>
      </c>
      <c r="D12" s="167">
        <v>322277</v>
      </c>
      <c r="E12" s="163" t="s">
        <v>93</v>
      </c>
      <c r="F12" s="167">
        <v>18733</v>
      </c>
      <c r="G12" s="163" t="s">
        <v>79</v>
      </c>
      <c r="H12" s="167">
        <v>20200</v>
      </c>
      <c r="I12" s="164"/>
      <c r="J12" s="164"/>
      <c r="K12" s="113"/>
      <c r="L12" s="134"/>
      <c r="M12" s="134"/>
    </row>
    <row r="13" spans="2:13" ht="15.75" customHeight="1" thickBot="1" x14ac:dyDescent="0.3">
      <c r="B13" s="117"/>
      <c r="C13" s="163" t="s">
        <v>125</v>
      </c>
      <c r="D13" s="167">
        <v>102446</v>
      </c>
      <c r="E13" s="223"/>
      <c r="F13" s="224"/>
      <c r="G13" s="165" t="s">
        <v>15</v>
      </c>
      <c r="H13" s="229"/>
      <c r="I13" s="164"/>
      <c r="J13" s="164"/>
      <c r="K13" s="113"/>
      <c r="L13" s="134"/>
      <c r="M13" s="134"/>
    </row>
    <row r="14" spans="2:13" ht="14.1" customHeight="1" thickBot="1" x14ac:dyDescent="0.3">
      <c r="B14" s="117"/>
      <c r="C14" s="119" t="s">
        <v>4</v>
      </c>
      <c r="D14" s="168">
        <f>SUM(D11:D13)</f>
        <v>759000</v>
      </c>
      <c r="E14" s="119" t="s">
        <v>7</v>
      </c>
      <c r="F14" s="168">
        <f>SUM(F10:F13)</f>
        <v>334277</v>
      </c>
      <c r="G14" s="119" t="s">
        <v>6</v>
      </c>
      <c r="H14" s="168">
        <f>SUM(H10:H13)</f>
        <v>212550</v>
      </c>
      <c r="I14" s="164"/>
      <c r="J14" s="164"/>
      <c r="K14" s="118"/>
      <c r="L14" s="116"/>
      <c r="M14" s="116"/>
    </row>
    <row r="15" spans="2:13" s="16" customFormat="1" ht="15" customHeight="1" x14ac:dyDescent="0.25">
      <c r="B15" s="120"/>
      <c r="C15" s="286" t="s">
        <v>127</v>
      </c>
      <c r="D15" s="286"/>
      <c r="E15" s="286"/>
      <c r="F15" s="286"/>
      <c r="G15" s="286"/>
      <c r="H15" s="166"/>
      <c r="I15" s="166"/>
      <c r="J15" s="166"/>
      <c r="K15" s="122"/>
      <c r="L15" s="121"/>
      <c r="M15" s="121"/>
    </row>
    <row r="16" spans="2:13" ht="15" customHeight="1" thickBot="1" x14ac:dyDescent="0.3">
      <c r="B16" s="123"/>
      <c r="C16" s="222"/>
      <c r="D16" s="222"/>
      <c r="E16" s="222"/>
      <c r="F16" s="222"/>
      <c r="G16" s="222"/>
      <c r="H16" s="222"/>
      <c r="I16" s="222"/>
      <c r="J16" s="192"/>
      <c r="K16" s="125"/>
      <c r="L16" s="116"/>
      <c r="M16" s="116"/>
    </row>
    <row r="17" spans="1:13" ht="21.75" customHeight="1" x14ac:dyDescent="0.25">
      <c r="B17" s="419" t="s">
        <v>8</v>
      </c>
      <c r="C17" s="420"/>
      <c r="D17" s="420"/>
      <c r="E17" s="420"/>
      <c r="F17" s="420"/>
      <c r="G17" s="420"/>
      <c r="H17" s="420"/>
      <c r="I17" s="420"/>
      <c r="J17" s="420"/>
      <c r="K17" s="421"/>
      <c r="L17" s="197"/>
      <c r="M17" s="197"/>
    </row>
    <row r="18" spans="1:13" ht="12" customHeight="1" thickBot="1" x14ac:dyDescent="0.3">
      <c r="B18" s="117"/>
      <c r="C18" s="225"/>
      <c r="D18" s="116"/>
      <c r="E18" s="116"/>
      <c r="F18" s="116"/>
      <c r="G18" s="116"/>
      <c r="H18" s="116"/>
      <c r="I18" s="116"/>
      <c r="J18" s="116"/>
      <c r="K18" s="118"/>
      <c r="L18" s="116"/>
      <c r="M18" s="116"/>
    </row>
    <row r="19" spans="1:13" ht="57" customHeight="1" thickBot="1" x14ac:dyDescent="0.3">
      <c r="A19" s="3"/>
      <c r="B19" s="115"/>
      <c r="C19" s="176" t="s">
        <v>19</v>
      </c>
      <c r="D19" s="296" t="s">
        <v>70</v>
      </c>
      <c r="E19" s="370" t="s">
        <v>97</v>
      </c>
      <c r="F19" s="370" t="s">
        <v>128</v>
      </c>
      <c r="G19" s="370" t="s">
        <v>129</v>
      </c>
      <c r="H19" s="370" t="s">
        <v>69</v>
      </c>
      <c r="I19" s="370" t="s">
        <v>62</v>
      </c>
      <c r="J19" s="370" t="s">
        <v>130</v>
      </c>
      <c r="K19" s="114"/>
      <c r="L19" s="4"/>
      <c r="M19" s="4"/>
    </row>
    <row r="20" spans="1:13" ht="14.1" customHeight="1" x14ac:dyDescent="0.25">
      <c r="B20" s="117"/>
      <c r="C20" s="245" t="s">
        <v>16</v>
      </c>
      <c r="D20" s="287">
        <f>D22+D21</f>
        <v>106710</v>
      </c>
      <c r="E20" s="371">
        <f>E22+E21</f>
        <v>105976</v>
      </c>
      <c r="F20" s="371">
        <f>F22+F21</f>
        <v>615.16065000000003</v>
      </c>
      <c r="G20" s="371">
        <f>G21+G22</f>
        <v>59010.56925</v>
      </c>
      <c r="H20" s="371"/>
      <c r="I20" s="371">
        <f>I22+I21</f>
        <v>46965.43075</v>
      </c>
      <c r="J20" s="371">
        <f>J22+J21</f>
        <v>49319.435320000004</v>
      </c>
      <c r="K20" s="126"/>
      <c r="L20" s="154"/>
      <c r="M20" s="154"/>
    </row>
    <row r="21" spans="1:13" ht="14.1" customHeight="1" x14ac:dyDescent="0.25">
      <c r="B21" s="117"/>
      <c r="C21" s="246" t="s">
        <v>12</v>
      </c>
      <c r="D21" s="288">
        <v>105960</v>
      </c>
      <c r="E21" s="372">
        <v>105175</v>
      </c>
      <c r="F21" s="372">
        <v>597.59415000000001</v>
      </c>
      <c r="G21" s="372">
        <v>58768.713750000003</v>
      </c>
      <c r="H21" s="372"/>
      <c r="I21" s="372">
        <f>E21-G21</f>
        <v>46406.286249999997</v>
      </c>
      <c r="J21" s="372">
        <v>48864.270140000001</v>
      </c>
      <c r="K21" s="126"/>
      <c r="L21" s="154"/>
      <c r="M21" s="154"/>
    </row>
    <row r="22" spans="1:13" ht="14.1" customHeight="1" thickBot="1" x14ac:dyDescent="0.3">
      <c r="B22" s="117"/>
      <c r="C22" s="247" t="s">
        <v>11</v>
      </c>
      <c r="D22" s="295">
        <v>750</v>
      </c>
      <c r="E22" s="373">
        <v>801</v>
      </c>
      <c r="F22" s="373">
        <v>17.566500000000001</v>
      </c>
      <c r="G22" s="373">
        <v>241.85550000000001</v>
      </c>
      <c r="H22" s="373"/>
      <c r="I22" s="373">
        <f>E22-G22</f>
        <v>559.14449999999999</v>
      </c>
      <c r="J22" s="373">
        <v>455.16518000000002</v>
      </c>
      <c r="K22" s="126"/>
      <c r="L22" s="154"/>
      <c r="M22" s="154"/>
    </row>
    <row r="23" spans="1:13" ht="14.1" customHeight="1" x14ac:dyDescent="0.25">
      <c r="B23" s="117"/>
      <c r="C23" s="245" t="s">
        <v>17</v>
      </c>
      <c r="D23" s="287">
        <f>D31+D30+D24</f>
        <v>223234</v>
      </c>
      <c r="E23" s="371">
        <f>E31+E30+E24</f>
        <v>213782</v>
      </c>
      <c r="F23" s="371">
        <f>F31+F30+F24</f>
        <v>385.37052</v>
      </c>
      <c r="G23" s="371">
        <f>G24+G30+G31</f>
        <v>184002.54238999999</v>
      </c>
      <c r="H23" s="371"/>
      <c r="I23" s="371">
        <f>I24+I30+I31</f>
        <v>29779.457610000005</v>
      </c>
      <c r="J23" s="371">
        <f>J24+J30+J31</f>
        <v>183647.57038799999</v>
      </c>
      <c r="K23" s="126"/>
      <c r="L23" s="154"/>
      <c r="M23" s="154"/>
    </row>
    <row r="24" spans="1:13" ht="15" customHeight="1" x14ac:dyDescent="0.25">
      <c r="A24" s="21"/>
      <c r="B24" s="127"/>
      <c r="C24" s="252" t="s">
        <v>80</v>
      </c>
      <c r="D24" s="289">
        <f>D25+D26+D27+D28+D29</f>
        <v>174605</v>
      </c>
      <c r="E24" s="374">
        <f>E25+E26+E27+E28+E29</f>
        <v>165351</v>
      </c>
      <c r="F24" s="374">
        <f>F25+F26+F27+F28</f>
        <v>206.98851999999999</v>
      </c>
      <c r="G24" s="374">
        <f>G25+G26+G27+G28</f>
        <v>145646.75644</v>
      </c>
      <c r="H24" s="374"/>
      <c r="I24" s="374">
        <f>I25+I26+I27+I28+I29</f>
        <v>19704.243560000006</v>
      </c>
      <c r="J24" s="374">
        <f>J25+J26+J27+J28</f>
        <v>150111.648048</v>
      </c>
      <c r="K24" s="126"/>
      <c r="L24" s="154"/>
      <c r="M24" s="154"/>
    </row>
    <row r="25" spans="1:13" ht="14.1" customHeight="1" x14ac:dyDescent="0.25">
      <c r="A25" s="22"/>
      <c r="B25" s="128"/>
      <c r="C25" s="251" t="s">
        <v>22</v>
      </c>
      <c r="D25" s="290">
        <v>41189</v>
      </c>
      <c r="E25" s="375">
        <v>39029</v>
      </c>
      <c r="F25" s="375">
        <v>77.50367</v>
      </c>
      <c r="G25" s="375">
        <v>38526.446089999998</v>
      </c>
      <c r="H25" s="375">
        <v>1130</v>
      </c>
      <c r="I25" s="375">
        <f>E25-G25+H25</f>
        <v>1632.5539100000024</v>
      </c>
      <c r="J25" s="375">
        <v>42008.115949999999</v>
      </c>
      <c r="K25" s="126"/>
      <c r="L25" s="154"/>
      <c r="M25" s="154"/>
    </row>
    <row r="26" spans="1:13" ht="14.1" customHeight="1" x14ac:dyDescent="0.25">
      <c r="A26" s="22"/>
      <c r="B26" s="128"/>
      <c r="C26" s="251" t="s">
        <v>59</v>
      </c>
      <c r="D26" s="290">
        <v>45257</v>
      </c>
      <c r="E26" s="375">
        <v>41911</v>
      </c>
      <c r="F26" s="375">
        <v>34.040790000000001</v>
      </c>
      <c r="G26" s="375">
        <v>39230.842579999997</v>
      </c>
      <c r="H26" s="375">
        <v>1214</v>
      </c>
      <c r="I26" s="375">
        <f>E26-G26+H26</f>
        <v>3894.1574200000032</v>
      </c>
      <c r="J26" s="375">
        <v>40732.487930000003</v>
      </c>
      <c r="K26" s="126"/>
      <c r="L26" s="154"/>
      <c r="M26" s="154"/>
    </row>
    <row r="27" spans="1:13" ht="14.1" customHeight="1" x14ac:dyDescent="0.25">
      <c r="A27" s="22"/>
      <c r="B27" s="128"/>
      <c r="C27" s="251" t="s">
        <v>60</v>
      </c>
      <c r="D27" s="290">
        <v>42190</v>
      </c>
      <c r="E27" s="375">
        <v>42357</v>
      </c>
      <c r="F27" s="375">
        <v>72.472999999999999</v>
      </c>
      <c r="G27" s="375">
        <v>40453.022349999999</v>
      </c>
      <c r="H27" s="375">
        <v>1452</v>
      </c>
      <c r="I27" s="375">
        <f>E27-G27+H27</f>
        <v>3355.9776500000007</v>
      </c>
      <c r="J27" s="375">
        <v>38864.572242000002</v>
      </c>
      <c r="K27" s="126"/>
      <c r="L27" s="154"/>
      <c r="M27" s="154"/>
    </row>
    <row r="28" spans="1:13" ht="14.1" customHeight="1" x14ac:dyDescent="0.25">
      <c r="A28" s="22"/>
      <c r="B28" s="128"/>
      <c r="C28" s="251" t="s">
        <v>82</v>
      </c>
      <c r="D28" s="290">
        <v>30699</v>
      </c>
      <c r="E28" s="375">
        <v>28468</v>
      </c>
      <c r="F28" s="375">
        <v>22.971060000000001</v>
      </c>
      <c r="G28" s="375">
        <v>27436.44542</v>
      </c>
      <c r="H28" s="375">
        <v>1067</v>
      </c>
      <c r="I28" s="375">
        <f>E28-G28+H28</f>
        <v>2098.55458</v>
      </c>
      <c r="J28" s="375">
        <v>28506.471925999998</v>
      </c>
      <c r="K28" s="126"/>
      <c r="L28" s="154"/>
      <c r="M28" s="154"/>
    </row>
    <row r="29" spans="1:13" ht="14.1" customHeight="1" x14ac:dyDescent="0.25">
      <c r="A29" s="22"/>
      <c r="B29" s="128"/>
      <c r="C29" s="251" t="s">
        <v>83</v>
      </c>
      <c r="D29" s="290">
        <v>15270</v>
      </c>
      <c r="E29" s="375">
        <v>13586</v>
      </c>
      <c r="F29" s="375">
        <v>60</v>
      </c>
      <c r="G29" s="375">
        <f>H25+H26+H27+H28</f>
        <v>4863</v>
      </c>
      <c r="H29" s="375"/>
      <c r="I29" s="375">
        <f>E29-G29</f>
        <v>8723</v>
      </c>
      <c r="J29" s="375">
        <v>4702</v>
      </c>
      <c r="K29" s="126"/>
      <c r="L29" s="154"/>
      <c r="M29" s="154"/>
    </row>
    <row r="30" spans="1:13" ht="14.1" customHeight="1" x14ac:dyDescent="0.25">
      <c r="A30" s="23"/>
      <c r="B30" s="127"/>
      <c r="C30" s="252" t="s">
        <v>18</v>
      </c>
      <c r="D30" s="289">
        <v>27917</v>
      </c>
      <c r="E30" s="374">
        <v>28138</v>
      </c>
      <c r="F30" s="374">
        <v>146.38200000000001</v>
      </c>
      <c r="G30" s="374">
        <v>18876.785950000001</v>
      </c>
      <c r="H30" s="374"/>
      <c r="I30" s="374">
        <f>E30-G30</f>
        <v>9261.2140499999987</v>
      </c>
      <c r="J30" s="374">
        <v>15082.922339999999</v>
      </c>
      <c r="K30" s="126"/>
      <c r="L30" s="154"/>
      <c r="M30" s="154"/>
    </row>
    <row r="31" spans="1:13" ht="14.1" customHeight="1" x14ac:dyDescent="0.25">
      <c r="A31" s="23"/>
      <c r="B31" s="127"/>
      <c r="C31" s="252" t="s">
        <v>81</v>
      </c>
      <c r="D31" s="289">
        <f>D32+D33</f>
        <v>20712</v>
      </c>
      <c r="E31" s="374">
        <f>E32+E33</f>
        <v>20293</v>
      </c>
      <c r="F31" s="374">
        <f>F32</f>
        <v>32</v>
      </c>
      <c r="G31" s="374">
        <f>G32</f>
        <v>19479</v>
      </c>
      <c r="H31" s="374"/>
      <c r="I31" s="374">
        <f>I32+I33</f>
        <v>814</v>
      </c>
      <c r="J31" s="374">
        <f>J32</f>
        <v>18453</v>
      </c>
      <c r="K31" s="126"/>
      <c r="L31" s="154"/>
      <c r="M31" s="154"/>
    </row>
    <row r="32" spans="1:13" ht="14.1" customHeight="1" x14ac:dyDescent="0.25">
      <c r="A32" s="22"/>
      <c r="B32" s="128"/>
      <c r="C32" s="251" t="s">
        <v>10</v>
      </c>
      <c r="D32" s="290">
        <v>18842</v>
      </c>
      <c r="E32" s="375">
        <v>18423</v>
      </c>
      <c r="F32" s="375">
        <f>61-F36</f>
        <v>32</v>
      </c>
      <c r="G32" s="375">
        <f>22546-G36</f>
        <v>19479</v>
      </c>
      <c r="H32" s="375">
        <v>855</v>
      </c>
      <c r="I32" s="375">
        <f>E32-G32+H32</f>
        <v>-201</v>
      </c>
      <c r="J32" s="375">
        <f>21786-J36</f>
        <v>18453</v>
      </c>
      <c r="K32" s="126"/>
      <c r="L32" s="154"/>
      <c r="M32" s="154"/>
    </row>
    <row r="33" spans="1:13" ht="14.1" customHeight="1" thickBot="1" x14ac:dyDescent="0.3">
      <c r="A33" s="22"/>
      <c r="B33" s="128"/>
      <c r="C33" s="297" t="s">
        <v>84</v>
      </c>
      <c r="D33" s="291">
        <v>1870</v>
      </c>
      <c r="E33" s="376">
        <v>1870</v>
      </c>
      <c r="F33" s="376">
        <v>10</v>
      </c>
      <c r="G33" s="376">
        <f>H32</f>
        <v>855</v>
      </c>
      <c r="H33" s="376"/>
      <c r="I33" s="376">
        <f t="shared" ref="I33:I38" si="0">E33-G33</f>
        <v>1015</v>
      </c>
      <c r="J33" s="376">
        <v>578</v>
      </c>
      <c r="K33" s="126"/>
      <c r="L33" s="154"/>
      <c r="M33" s="154"/>
    </row>
    <row r="34" spans="1:13" ht="15.75" customHeight="1" thickBot="1" x14ac:dyDescent="0.3">
      <c r="B34" s="117"/>
      <c r="C34" s="171" t="s">
        <v>109</v>
      </c>
      <c r="D34" s="309">
        <v>2500</v>
      </c>
      <c r="E34" s="377">
        <v>2500</v>
      </c>
      <c r="F34" s="377"/>
      <c r="G34" s="377">
        <v>1514.2737999999999</v>
      </c>
      <c r="H34" s="377"/>
      <c r="I34" s="377">
        <f t="shared" si="0"/>
        <v>985.72620000000006</v>
      </c>
      <c r="J34" s="377">
        <v>2832.7816320000002</v>
      </c>
      <c r="K34" s="126"/>
      <c r="L34" s="154"/>
      <c r="M34" s="154"/>
    </row>
    <row r="35" spans="1:13" ht="14.1" customHeight="1" thickBot="1" x14ac:dyDescent="0.3">
      <c r="B35" s="117"/>
      <c r="C35" s="171" t="s">
        <v>13</v>
      </c>
      <c r="D35" s="292">
        <v>933</v>
      </c>
      <c r="E35" s="377">
        <v>933</v>
      </c>
      <c r="F35" s="377"/>
      <c r="G35" s="377">
        <v>451.89886999999999</v>
      </c>
      <c r="H35" s="377"/>
      <c r="I35" s="377">
        <f t="shared" si="0"/>
        <v>481.10113000000001</v>
      </c>
      <c r="J35" s="377">
        <v>458.32035999999999</v>
      </c>
      <c r="K35" s="126"/>
      <c r="L35" s="154"/>
      <c r="M35" s="154"/>
    </row>
    <row r="36" spans="1:13" ht="17.25" customHeight="1" thickBot="1" x14ac:dyDescent="0.3">
      <c r="B36" s="117"/>
      <c r="C36" s="171" t="s">
        <v>110</v>
      </c>
      <c r="D36" s="292">
        <v>3000</v>
      </c>
      <c r="E36" s="378">
        <v>3000</v>
      </c>
      <c r="F36" s="378">
        <v>29</v>
      </c>
      <c r="G36" s="378">
        <v>3067</v>
      </c>
      <c r="H36" s="378"/>
      <c r="I36" s="378">
        <f t="shared" si="0"/>
        <v>-67</v>
      </c>
      <c r="J36" s="378">
        <v>3333</v>
      </c>
      <c r="K36" s="126"/>
      <c r="L36" s="154"/>
      <c r="M36" s="154"/>
    </row>
    <row r="37" spans="1:13" ht="17.25" customHeight="1" thickBot="1" x14ac:dyDescent="0.3">
      <c r="B37" s="117"/>
      <c r="C37" s="171" t="s">
        <v>65</v>
      </c>
      <c r="D37" s="292">
        <v>7000</v>
      </c>
      <c r="E37" s="378">
        <v>7000</v>
      </c>
      <c r="F37" s="378">
        <v>29</v>
      </c>
      <c r="G37" s="378">
        <v>7000</v>
      </c>
      <c r="H37" s="378"/>
      <c r="I37" s="378">
        <f t="shared" si="0"/>
        <v>0</v>
      </c>
      <c r="J37" s="378">
        <v>7000</v>
      </c>
      <c r="K37" s="126"/>
      <c r="L37" s="154"/>
      <c r="M37" s="154"/>
    </row>
    <row r="38" spans="1:13" ht="14.1" customHeight="1" thickBot="1" x14ac:dyDescent="0.3">
      <c r="B38" s="117"/>
      <c r="C38" s="150" t="s">
        <v>112</v>
      </c>
      <c r="D38" s="292">
        <v>0</v>
      </c>
      <c r="E38" s="378">
        <v>0</v>
      </c>
      <c r="F38" s="378"/>
      <c r="G38" s="378">
        <v>44</v>
      </c>
      <c r="H38" s="378"/>
      <c r="I38" s="378">
        <f t="shared" si="0"/>
        <v>-44</v>
      </c>
      <c r="J38" s="378">
        <v>-21</v>
      </c>
      <c r="K38" s="126"/>
      <c r="L38" s="154"/>
      <c r="M38" s="154"/>
    </row>
    <row r="39" spans="1:13" ht="16.5" customHeight="1" thickBot="1" x14ac:dyDescent="0.3">
      <c r="B39" s="117"/>
      <c r="C39" s="177" t="s">
        <v>9</v>
      </c>
      <c r="D39" s="293">
        <f>D20+D23+D34+D35+D36+D37+D38</f>
        <v>343377</v>
      </c>
      <c r="E39" s="340">
        <f>E20+E23+E34+E35+E36+E37+E38</f>
        <v>333191</v>
      </c>
      <c r="F39" s="340">
        <f>F20+F23+F34+F35+F37+F38+F36</f>
        <v>1058.53117</v>
      </c>
      <c r="G39" s="340">
        <f>G20+G23+G34+G35+G36+G37+G38</f>
        <v>255090.28430999999</v>
      </c>
      <c r="H39" s="340">
        <f>H25+H26+H27+H28+H32</f>
        <v>5718</v>
      </c>
      <c r="I39" s="340">
        <f>I20+I23+I34+I35+I36+I37+I38</f>
        <v>78100.715690000012</v>
      </c>
      <c r="J39" s="340">
        <f>J20+J23+J34+J35+J36+J37+J38</f>
        <v>246570.10769999999</v>
      </c>
      <c r="K39" s="126"/>
      <c r="L39" s="154"/>
      <c r="M39" s="154"/>
    </row>
    <row r="40" spans="1:13" ht="14.1" customHeight="1" x14ac:dyDescent="0.25">
      <c r="A40" s="16"/>
      <c r="B40" s="120"/>
      <c r="C40" s="121" t="s">
        <v>108</v>
      </c>
      <c r="D40" s="129"/>
      <c r="E40" s="129"/>
      <c r="F40" s="169"/>
      <c r="G40" s="169"/>
      <c r="H40" s="161"/>
      <c r="I40" s="161"/>
      <c r="J40" s="322"/>
      <c r="K40" s="321"/>
      <c r="L40" s="121"/>
      <c r="M40" s="121"/>
    </row>
    <row r="41" spans="1:13" s="16" customFormat="1" ht="14.1" customHeight="1" x14ac:dyDescent="0.25">
      <c r="B41" s="120"/>
      <c r="C41" s="130" t="s">
        <v>114</v>
      </c>
      <c r="D41" s="129"/>
      <c r="E41" s="129"/>
      <c r="F41" s="129"/>
      <c r="G41" s="129"/>
      <c r="H41" s="154"/>
      <c r="I41" s="154"/>
      <c r="J41" s="154"/>
      <c r="K41" s="122"/>
      <c r="L41" s="121"/>
      <c r="M41" s="121"/>
    </row>
    <row r="42" spans="1:13" s="16" customFormat="1" ht="14.1" customHeight="1" x14ac:dyDescent="0.25">
      <c r="B42" s="120"/>
      <c r="C42" s="194" t="s">
        <v>131</v>
      </c>
      <c r="D42" s="196"/>
      <c r="E42" s="196"/>
      <c r="F42" s="196"/>
      <c r="G42" s="129"/>
      <c r="H42" s="154"/>
      <c r="I42" s="154"/>
      <c r="J42" s="116"/>
      <c r="K42" s="122"/>
      <c r="L42" s="121"/>
      <c r="M42" s="121"/>
    </row>
    <row r="43" spans="1:13" s="16" customFormat="1" ht="14.1" customHeight="1" x14ac:dyDescent="0.25">
      <c r="B43" s="120"/>
      <c r="C43" s="194" t="s">
        <v>111</v>
      </c>
      <c r="D43" s="196"/>
      <c r="E43" s="196"/>
      <c r="F43" s="196"/>
      <c r="G43" s="129"/>
      <c r="H43" s="154"/>
      <c r="I43" s="154"/>
      <c r="J43" s="116"/>
      <c r="K43" s="122"/>
      <c r="L43" s="121"/>
      <c r="M43" s="121"/>
    </row>
    <row r="44" spans="1:13" s="16" customFormat="1" ht="15.75" thickBot="1" x14ac:dyDescent="0.3">
      <c r="B44" s="131"/>
      <c r="C44" s="16" t="s">
        <v>113</v>
      </c>
      <c r="D44" s="303"/>
      <c r="E44" s="303"/>
      <c r="F44" s="303"/>
      <c r="G44" s="304"/>
      <c r="H44" s="102"/>
      <c r="I44" s="102"/>
      <c r="J44" s="152"/>
      <c r="K44" s="133"/>
      <c r="L44" s="121"/>
      <c r="M44" s="121"/>
    </row>
    <row r="45" spans="1:13" ht="12" customHeight="1" thickTop="1" x14ac:dyDescent="0.25">
      <c r="B45" s="6"/>
      <c r="C45" s="207"/>
      <c r="D45" s="116"/>
      <c r="E45" s="6"/>
      <c r="F45" s="38"/>
      <c r="G45" s="6"/>
      <c r="H45" s="6"/>
      <c r="I45" s="6"/>
      <c r="J45" s="116"/>
      <c r="K45" s="6"/>
      <c r="L45" s="116"/>
      <c r="M45" s="116"/>
    </row>
    <row r="46" spans="1:13" ht="19.5" customHeight="1" thickBot="1" x14ac:dyDescent="0.3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14" t="s">
        <v>1</v>
      </c>
      <c r="C47" s="415"/>
      <c r="D47" s="415"/>
      <c r="E47" s="415"/>
      <c r="F47" s="415"/>
      <c r="G47" s="415"/>
      <c r="H47" s="415"/>
      <c r="I47" s="415"/>
      <c r="J47" s="415"/>
      <c r="K47" s="416"/>
      <c r="L47" s="197"/>
      <c r="M47" s="197"/>
    </row>
    <row r="48" spans="1:13" ht="12" customHeight="1" thickBot="1" x14ac:dyDescent="0.3">
      <c r="B48" s="117"/>
      <c r="C48" s="134"/>
      <c r="D48" s="135"/>
      <c r="E48" s="135"/>
      <c r="F48" s="135"/>
      <c r="G48" s="135"/>
      <c r="H48" s="116"/>
      <c r="I48" s="116"/>
      <c r="J48" s="116"/>
      <c r="K48" s="118"/>
      <c r="L48" s="116"/>
      <c r="M48" s="116"/>
    </row>
    <row r="49" spans="2:13" ht="14.1" customHeight="1" thickBot="1" x14ac:dyDescent="0.3">
      <c r="B49" s="117"/>
      <c r="C49" s="406" t="s">
        <v>2</v>
      </c>
      <c r="D49" s="407"/>
      <c r="E49" s="136"/>
      <c r="F49" s="136"/>
      <c r="G49" s="136"/>
      <c r="H49" s="116"/>
      <c r="I49" s="116"/>
      <c r="J49" s="116"/>
      <c r="K49" s="118"/>
      <c r="L49" s="116"/>
      <c r="M49" s="116"/>
    </row>
    <row r="50" spans="2:13" ht="14.1" customHeight="1" thickBot="1" x14ac:dyDescent="0.3">
      <c r="B50" s="117"/>
      <c r="C50" s="137" t="s">
        <v>27</v>
      </c>
      <c r="D50" s="232">
        <v>13755</v>
      </c>
      <c r="E50" s="136"/>
      <c r="F50" s="136"/>
      <c r="G50" s="136"/>
      <c r="H50" s="116"/>
      <c r="I50" s="116"/>
      <c r="J50" s="116"/>
      <c r="K50" s="118"/>
      <c r="L50" s="116"/>
      <c r="M50" s="116"/>
    </row>
    <row r="51" spans="2:13" ht="14.1" customHeight="1" thickBot="1" x14ac:dyDescent="0.3">
      <c r="B51" s="117"/>
      <c r="C51" s="137" t="s">
        <v>3</v>
      </c>
      <c r="D51" s="232">
        <v>12225</v>
      </c>
      <c r="E51" s="136"/>
      <c r="F51" s="136"/>
      <c r="G51" s="174"/>
      <c r="H51" s="116"/>
      <c r="I51" s="116"/>
      <c r="J51" s="116"/>
      <c r="K51" s="118"/>
      <c r="L51" s="116"/>
      <c r="M51" s="116"/>
    </row>
    <row r="52" spans="2:13" ht="14.1" customHeight="1" thickBot="1" x14ac:dyDescent="0.3">
      <c r="B52" s="117"/>
      <c r="C52" s="137" t="s">
        <v>28</v>
      </c>
      <c r="D52" s="232">
        <v>1020</v>
      </c>
      <c r="E52" s="136"/>
      <c r="F52" s="136"/>
      <c r="G52" s="136"/>
      <c r="H52" s="116"/>
      <c r="I52" s="116"/>
      <c r="J52" s="116"/>
      <c r="K52" s="118"/>
      <c r="L52" s="116"/>
      <c r="M52" s="116"/>
    </row>
    <row r="53" spans="2:13" ht="14.1" customHeight="1" thickBot="1" x14ac:dyDescent="0.3">
      <c r="B53" s="117"/>
      <c r="C53" s="137" t="s">
        <v>31</v>
      </c>
      <c r="D53" s="232">
        <f>SUM(D50:D52)</f>
        <v>27000</v>
      </c>
      <c r="E53" s="136"/>
      <c r="F53" s="136"/>
      <c r="G53" s="136"/>
      <c r="H53" s="116"/>
      <c r="I53" s="116"/>
      <c r="J53" s="116"/>
      <c r="K53" s="118"/>
      <c r="L53" s="116"/>
      <c r="M53" s="116"/>
    </row>
    <row r="54" spans="2:13" ht="14.1" customHeight="1" thickBot="1" x14ac:dyDescent="0.3">
      <c r="B54" s="123"/>
      <c r="C54" s="138"/>
      <c r="D54" s="233"/>
      <c r="E54" s="139"/>
      <c r="F54" s="139"/>
      <c r="G54" s="139"/>
      <c r="H54" s="124"/>
      <c r="I54" s="124"/>
      <c r="J54" s="124"/>
      <c r="K54" s="125"/>
      <c r="L54" s="116"/>
      <c r="M54" s="116"/>
    </row>
    <row r="55" spans="2:13" ht="17.100000000000001" customHeight="1" thickBot="1" x14ac:dyDescent="0.3">
      <c r="B55" s="419" t="s">
        <v>8</v>
      </c>
      <c r="C55" s="420"/>
      <c r="D55" s="420"/>
      <c r="E55" s="420"/>
      <c r="F55" s="420"/>
      <c r="G55" s="420"/>
      <c r="H55" s="420"/>
      <c r="I55" s="420"/>
      <c r="J55" s="420"/>
      <c r="K55" s="421"/>
      <c r="L55" s="197"/>
      <c r="M55" s="197"/>
    </row>
    <row r="56" spans="2:13" s="3" customFormat="1" ht="63.75" thickBot="1" x14ac:dyDescent="0.3">
      <c r="B56" s="140"/>
      <c r="C56" s="176" t="s">
        <v>19</v>
      </c>
      <c r="D56" s="394" t="s">
        <v>20</v>
      </c>
      <c r="E56" s="328" t="str">
        <f>F19</f>
        <v>LANDET KVANTUM UKE 28</v>
      </c>
      <c r="F56" s="176" t="str">
        <f>G19</f>
        <v>LANDET KVANTUM T.O.M UKE 28</v>
      </c>
      <c r="G56" s="379" t="str">
        <f>I19</f>
        <v>RESTKVOTER</v>
      </c>
      <c r="H56" s="176" t="str">
        <f>J19</f>
        <v>LANDET KVANTUM T.O.M. UKE 28 2019</v>
      </c>
      <c r="I56" s="141"/>
      <c r="J56" s="141"/>
      <c r="K56" s="142"/>
      <c r="L56" s="141"/>
      <c r="M56" s="141"/>
    </row>
    <row r="57" spans="2:13" ht="14.1" customHeight="1" x14ac:dyDescent="0.25">
      <c r="B57" s="143"/>
      <c r="C57" s="305" t="s">
        <v>32</v>
      </c>
      <c r="D57" s="428">
        <v>5386</v>
      </c>
      <c r="E57" s="391">
        <v>27.147600000000001</v>
      </c>
      <c r="F57" s="366">
        <v>925.79741000000001</v>
      </c>
      <c r="G57" s="430">
        <f>D57-F57-F58</f>
        <v>3343.7669900000001</v>
      </c>
      <c r="H57" s="366">
        <v>786.35431000000005</v>
      </c>
      <c r="I57" s="158"/>
      <c r="J57" s="158"/>
      <c r="K57" s="185"/>
      <c r="L57" s="103"/>
      <c r="M57" s="103"/>
    </row>
    <row r="58" spans="2:13" ht="14.1" customHeight="1" x14ac:dyDescent="0.25">
      <c r="B58" s="143"/>
      <c r="C58" s="144" t="s">
        <v>29</v>
      </c>
      <c r="D58" s="429"/>
      <c r="E58" s="392">
        <v>20.713550000000001</v>
      </c>
      <c r="F58" s="386">
        <v>1116.4356</v>
      </c>
      <c r="G58" s="431"/>
      <c r="H58" s="386">
        <v>1086.5658699999999</v>
      </c>
      <c r="I58" s="158"/>
      <c r="J58" s="158"/>
      <c r="K58" s="185"/>
      <c r="L58" s="103"/>
      <c r="M58" s="103"/>
    </row>
    <row r="59" spans="2:13" ht="14.1" customHeight="1" thickBot="1" x14ac:dyDescent="0.3">
      <c r="B59" s="143"/>
      <c r="C59" s="145" t="s">
        <v>76</v>
      </c>
      <c r="D59" s="377">
        <v>200</v>
      </c>
      <c r="E59" s="393"/>
      <c r="F59" s="387">
        <v>87.188800000000001</v>
      </c>
      <c r="G59" s="380">
        <f>D59-F59</f>
        <v>112.8112</v>
      </c>
      <c r="H59" s="387">
        <v>76.118250000000003</v>
      </c>
      <c r="I59" s="158"/>
      <c r="J59" s="158"/>
      <c r="K59" s="185"/>
      <c r="L59" s="103"/>
      <c r="M59" s="103"/>
    </row>
    <row r="60" spans="2:13" s="95" customFormat="1" ht="15.6" customHeight="1" x14ac:dyDescent="0.25">
      <c r="B60" s="159"/>
      <c r="C60" s="146" t="s">
        <v>58</v>
      </c>
      <c r="D60" s="388">
        <v>8078</v>
      </c>
      <c r="E60" s="324">
        <f>E61+E62+E63</f>
        <v>0</v>
      </c>
      <c r="F60" s="388">
        <f>F61+F62+F63</f>
        <v>5060.9834000000001</v>
      </c>
      <c r="G60" s="381">
        <f>D60-F60</f>
        <v>3017.0165999999999</v>
      </c>
      <c r="H60" s="388">
        <f>H61+H62+H63</f>
        <v>5390.1084799999999</v>
      </c>
      <c r="I60" s="160"/>
      <c r="J60" s="160"/>
      <c r="K60" s="185"/>
      <c r="L60" s="103"/>
      <c r="M60" s="103"/>
    </row>
    <row r="61" spans="2:13" s="22" customFormat="1" ht="14.1" customHeight="1" x14ac:dyDescent="0.25">
      <c r="B61" s="147"/>
      <c r="C61" s="148" t="s">
        <v>33</v>
      </c>
      <c r="D61" s="335"/>
      <c r="E61" s="325"/>
      <c r="F61" s="335">
        <v>2262.8098500000001</v>
      </c>
      <c r="G61" s="382"/>
      <c r="H61" s="335">
        <v>2112.5476699999999</v>
      </c>
      <c r="I61" s="149"/>
      <c r="J61" s="149"/>
      <c r="K61" s="185"/>
      <c r="L61" s="103"/>
      <c r="M61" s="103"/>
    </row>
    <row r="62" spans="2:13" s="22" customFormat="1" ht="14.1" customHeight="1" x14ac:dyDescent="0.25">
      <c r="B62" s="147"/>
      <c r="C62" s="148" t="s">
        <v>34</v>
      </c>
      <c r="D62" s="335"/>
      <c r="E62" s="325"/>
      <c r="F62" s="335">
        <v>1606.99881</v>
      </c>
      <c r="G62" s="382"/>
      <c r="H62" s="335">
        <v>2091.857</v>
      </c>
      <c r="I62" s="173"/>
      <c r="J62" s="173"/>
      <c r="K62" s="185"/>
      <c r="L62" s="103"/>
      <c r="M62" s="103"/>
    </row>
    <row r="63" spans="2:13" s="22" customFormat="1" ht="14.1" customHeight="1" thickBot="1" x14ac:dyDescent="0.3">
      <c r="B63" s="147"/>
      <c r="C63" s="212" t="s">
        <v>35</v>
      </c>
      <c r="D63" s="389"/>
      <c r="E63" s="325"/>
      <c r="F63" s="389">
        <v>1191.1747399999999</v>
      </c>
      <c r="G63" s="383"/>
      <c r="H63" s="389">
        <v>1185.70381</v>
      </c>
      <c r="I63" s="173"/>
      <c r="J63" s="173"/>
      <c r="K63" s="185"/>
      <c r="L63" s="103"/>
      <c r="M63" s="103"/>
    </row>
    <row r="64" spans="2:13" ht="14.1" customHeight="1" thickBot="1" x14ac:dyDescent="0.3">
      <c r="B64" s="117"/>
      <c r="C64" s="150" t="s">
        <v>36</v>
      </c>
      <c r="D64" s="333">
        <v>91</v>
      </c>
      <c r="E64" s="218"/>
      <c r="F64" s="333"/>
      <c r="G64" s="384">
        <f>D64-F64</f>
        <v>91</v>
      </c>
      <c r="H64" s="333"/>
      <c r="I64" s="154"/>
      <c r="J64" s="154"/>
      <c r="K64" s="185"/>
      <c r="L64" s="103"/>
      <c r="M64" s="103"/>
    </row>
    <row r="65" spans="2:13" ht="14.1" customHeight="1" thickBot="1" x14ac:dyDescent="0.3">
      <c r="B65" s="117"/>
      <c r="C65" s="326" t="s">
        <v>14</v>
      </c>
      <c r="D65" s="390"/>
      <c r="E65" s="327"/>
      <c r="F65" s="390"/>
      <c r="G65" s="385"/>
      <c r="H65" s="390">
        <v>1.968</v>
      </c>
      <c r="I65" s="154"/>
      <c r="J65" s="154"/>
      <c r="K65" s="185"/>
      <c r="L65" s="103"/>
      <c r="M65" s="103"/>
    </row>
    <row r="66" spans="2:13" s="3" customFormat="1" ht="16.5" customHeight="1" thickBot="1" x14ac:dyDescent="0.3">
      <c r="B66" s="115"/>
      <c r="C66" s="177" t="s">
        <v>9</v>
      </c>
      <c r="D66" s="340">
        <f>D57+D59+D60+D64</f>
        <v>13755</v>
      </c>
      <c r="E66" s="191">
        <f>E57+E58+E59+E60+E64+E65</f>
        <v>47.861150000000002</v>
      </c>
      <c r="F66" s="340">
        <f>F57+F58+F59+F60+F64+F65</f>
        <v>7190.4052099999999</v>
      </c>
      <c r="G66" s="369">
        <f>D66-F66</f>
        <v>6564.5947900000001</v>
      </c>
      <c r="H66" s="340">
        <f>H57+H58+H59+H60+H64+H65</f>
        <v>7341.1149099999993</v>
      </c>
      <c r="I66" s="170"/>
      <c r="J66" s="170"/>
      <c r="K66" s="185"/>
      <c r="L66" s="103"/>
      <c r="M66" s="103"/>
    </row>
    <row r="67" spans="2:13" s="3" customFormat="1" ht="19.350000000000001" customHeight="1" thickBot="1" x14ac:dyDescent="0.3">
      <c r="B67" s="155"/>
      <c r="C67" s="427" t="s">
        <v>118</v>
      </c>
      <c r="D67" s="427"/>
      <c r="E67" s="427"/>
      <c r="F67" s="427"/>
      <c r="G67" s="427"/>
      <c r="H67" s="172"/>
      <c r="I67" s="156"/>
      <c r="J67" s="156"/>
      <c r="K67" s="157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6"/>
      <c r="K68" s="6"/>
      <c r="L68" s="116"/>
      <c r="M68" s="116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6"/>
      <c r="K69" s="6"/>
      <c r="L69" s="116"/>
      <c r="M69" s="116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6"/>
      <c r="K70" s="6"/>
      <c r="L70" s="116"/>
      <c r="M70" s="116"/>
    </row>
    <row r="71" spans="2:13" ht="17.100000000000001" customHeight="1" thickBot="1" x14ac:dyDescent="0.3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14" t="s">
        <v>1</v>
      </c>
      <c r="C72" s="415"/>
      <c r="D72" s="415"/>
      <c r="E72" s="415"/>
      <c r="F72" s="415"/>
      <c r="G72" s="415"/>
      <c r="H72" s="415"/>
      <c r="I72" s="415"/>
      <c r="J72" s="415"/>
      <c r="K72" s="416"/>
      <c r="L72" s="197"/>
      <c r="M72" s="197"/>
    </row>
    <row r="73" spans="2:13" ht="4.5" customHeight="1" thickBot="1" x14ac:dyDescent="0.3">
      <c r="B73" s="117"/>
      <c r="C73" s="116"/>
      <c r="D73" s="116"/>
      <c r="E73" s="116"/>
      <c r="F73" s="116"/>
      <c r="G73" s="116"/>
      <c r="H73" s="116"/>
      <c r="I73" s="116"/>
      <c r="J73" s="116"/>
      <c r="K73" s="118"/>
      <c r="L73" s="116"/>
      <c r="M73" s="116"/>
    </row>
    <row r="74" spans="2:13" ht="14.1" customHeight="1" thickBot="1" x14ac:dyDescent="0.3">
      <c r="B74" s="115"/>
      <c r="C74" s="417" t="s">
        <v>2</v>
      </c>
      <c r="D74" s="418"/>
      <c r="E74" s="417" t="s">
        <v>20</v>
      </c>
      <c r="F74" s="422"/>
      <c r="G74" s="417" t="s">
        <v>21</v>
      </c>
      <c r="H74" s="418"/>
      <c r="I74" s="154"/>
      <c r="J74" s="154"/>
      <c r="K74" s="113"/>
      <c r="L74" s="134"/>
      <c r="M74" s="134"/>
    </row>
    <row r="75" spans="2:13" ht="15" x14ac:dyDescent="0.25">
      <c r="B75" s="234"/>
      <c r="C75" s="163" t="s">
        <v>27</v>
      </c>
      <c r="D75" s="167">
        <v>105159</v>
      </c>
      <c r="E75" s="235" t="s">
        <v>5</v>
      </c>
      <c r="F75" s="228">
        <v>39146</v>
      </c>
      <c r="G75" s="236" t="s">
        <v>25</v>
      </c>
      <c r="H75" s="228">
        <v>11497</v>
      </c>
      <c r="I75" s="164"/>
      <c r="J75" s="164"/>
      <c r="K75" s="237"/>
      <c r="L75" s="278"/>
      <c r="M75" s="134"/>
    </row>
    <row r="76" spans="2:13" ht="15" x14ac:dyDescent="0.25">
      <c r="B76" s="234"/>
      <c r="C76" s="163" t="s">
        <v>3</v>
      </c>
      <c r="D76" s="167">
        <v>96159</v>
      </c>
      <c r="E76" s="238" t="s">
        <v>6</v>
      </c>
      <c r="F76" s="167">
        <v>65362</v>
      </c>
      <c r="G76" s="236" t="s">
        <v>78</v>
      </c>
      <c r="H76" s="167">
        <v>48756</v>
      </c>
      <c r="I76" s="164"/>
      <c r="J76" s="164"/>
      <c r="K76" s="237"/>
      <c r="L76" s="278"/>
      <c r="M76" s="134"/>
    </row>
    <row r="77" spans="2:13" ht="18" thickBot="1" x14ac:dyDescent="0.3">
      <c r="B77" s="234"/>
      <c r="C77" s="163" t="s">
        <v>125</v>
      </c>
      <c r="D77" s="167">
        <v>13682</v>
      </c>
      <c r="E77" s="163" t="s">
        <v>93</v>
      </c>
      <c r="F77" s="167">
        <v>651</v>
      </c>
      <c r="G77" s="236" t="s">
        <v>79</v>
      </c>
      <c r="H77" s="167">
        <v>5109</v>
      </c>
      <c r="I77" s="164"/>
      <c r="J77" s="164"/>
      <c r="K77" s="237"/>
      <c r="L77" s="278"/>
      <c r="M77" s="134"/>
    </row>
    <row r="78" spans="2:13" ht="14.1" customHeight="1" thickBot="1" x14ac:dyDescent="0.3">
      <c r="B78" s="234"/>
      <c r="C78" s="119" t="s">
        <v>31</v>
      </c>
      <c r="D78" s="168">
        <f>SUM(D75:D77)</f>
        <v>215000</v>
      </c>
      <c r="E78" s="119" t="s">
        <v>7</v>
      </c>
      <c r="F78" s="168">
        <f>SUM(F75:F77)</f>
        <v>105159</v>
      </c>
      <c r="G78" s="119" t="s">
        <v>6</v>
      </c>
      <c r="H78" s="168">
        <f>SUM(H75:H77)</f>
        <v>65362</v>
      </c>
      <c r="I78" s="164"/>
      <c r="J78" s="164"/>
      <c r="K78" s="239"/>
      <c r="L78" s="242"/>
      <c r="M78" s="116"/>
    </row>
    <row r="79" spans="2:13" ht="12" customHeight="1" x14ac:dyDescent="0.25">
      <c r="B79" s="234"/>
      <c r="C79" s="286" t="s">
        <v>126</v>
      </c>
      <c r="D79" s="193"/>
      <c r="E79" s="193"/>
      <c r="F79" s="193"/>
      <c r="G79" s="193"/>
      <c r="H79" s="193"/>
      <c r="I79" s="241"/>
      <c r="J79" s="242"/>
      <c r="K79" s="239"/>
      <c r="L79" s="242"/>
      <c r="M79" s="116"/>
    </row>
    <row r="80" spans="2:13" ht="14.25" customHeight="1" x14ac:dyDescent="0.25">
      <c r="B80" s="234"/>
      <c r="C80" s="426"/>
      <c r="D80" s="426"/>
      <c r="E80" s="426"/>
      <c r="F80" s="426"/>
      <c r="G80" s="426"/>
      <c r="H80" s="426"/>
      <c r="I80" s="241"/>
      <c r="J80" s="242"/>
      <c r="K80" s="239"/>
      <c r="L80" s="242"/>
      <c r="M80" s="116"/>
    </row>
    <row r="81" spans="1:13" ht="6" customHeight="1" thickBot="1" x14ac:dyDescent="0.3">
      <c r="B81" s="234"/>
      <c r="C81" s="426"/>
      <c r="D81" s="426"/>
      <c r="E81" s="426"/>
      <c r="F81" s="426"/>
      <c r="G81" s="426"/>
      <c r="H81" s="426"/>
      <c r="I81" s="242"/>
      <c r="J81" s="242"/>
      <c r="K81" s="239"/>
      <c r="L81" s="242"/>
      <c r="M81" s="116"/>
    </row>
    <row r="82" spans="1:13" ht="14.1" customHeight="1" x14ac:dyDescent="0.25">
      <c r="B82" s="423" t="s">
        <v>8</v>
      </c>
      <c r="C82" s="424"/>
      <c r="D82" s="424"/>
      <c r="E82" s="424"/>
      <c r="F82" s="424"/>
      <c r="G82" s="424"/>
      <c r="H82" s="424"/>
      <c r="I82" s="424"/>
      <c r="J82" s="424"/>
      <c r="K82" s="425"/>
      <c r="L82" s="279"/>
      <c r="M82" s="197"/>
    </row>
    <row r="83" spans="1:13" ht="5.25" customHeight="1" thickBot="1" x14ac:dyDescent="0.3">
      <c r="B83" s="9"/>
      <c r="C83" s="14"/>
      <c r="D83" s="6"/>
      <c r="E83" s="6"/>
      <c r="F83" s="61"/>
      <c r="G83" s="6"/>
      <c r="H83" s="6"/>
      <c r="I83" s="6"/>
      <c r="J83" s="116"/>
      <c r="K83" s="10"/>
      <c r="L83" s="116"/>
      <c r="M83" s="116"/>
    </row>
    <row r="84" spans="1:13" ht="48.75" customHeight="1" thickBot="1" x14ac:dyDescent="0.3">
      <c r="A84" s="118"/>
      <c r="B84" s="116"/>
      <c r="C84" s="176" t="s">
        <v>19</v>
      </c>
      <c r="D84" s="296" t="s">
        <v>70</v>
      </c>
      <c r="E84" s="176" t="s">
        <v>98</v>
      </c>
      <c r="F84" s="176" t="str">
        <f>F19</f>
        <v>LANDET KVANTUM UKE 28</v>
      </c>
      <c r="G84" s="176" t="str">
        <f>G19</f>
        <v>LANDET KVANTUM T.O.M UKE 28</v>
      </c>
      <c r="H84" s="176" t="str">
        <f>I19</f>
        <v>RESTKVOTER</v>
      </c>
      <c r="I84" s="176" t="str">
        <f>J19</f>
        <v>LANDET KVANTUM T.O.M. UKE 28 2019</v>
      </c>
      <c r="J84" s="116"/>
      <c r="K84" s="10"/>
      <c r="L84" s="116"/>
      <c r="M84" s="116"/>
    </row>
    <row r="85" spans="1:13" ht="14.1" customHeight="1" x14ac:dyDescent="0.25">
      <c r="A85" s="118"/>
      <c r="B85" s="116"/>
      <c r="C85" s="298" t="s">
        <v>16</v>
      </c>
      <c r="D85" s="287">
        <f>D87+D86</f>
        <v>40215</v>
      </c>
      <c r="E85" s="371">
        <f>E87+E86</f>
        <v>38762</v>
      </c>
      <c r="F85" s="371">
        <f>F87+F86</f>
        <v>36.451799999999999</v>
      </c>
      <c r="G85" s="371">
        <f>G86+G87</f>
        <v>25413.9306</v>
      </c>
      <c r="H85" s="371">
        <f>H86+H87</f>
        <v>13348.069399999998</v>
      </c>
      <c r="I85" s="371">
        <f>I86+I87</f>
        <v>28532.38882</v>
      </c>
      <c r="J85" s="154"/>
      <c r="K85" s="126"/>
      <c r="L85" s="154"/>
      <c r="M85" s="154"/>
    </row>
    <row r="86" spans="1:13" ht="14.1" customHeight="1" x14ac:dyDescent="0.25">
      <c r="A86" s="118"/>
      <c r="B86" s="116"/>
      <c r="C86" s="246" t="s">
        <v>12</v>
      </c>
      <c r="D86" s="288">
        <v>39465</v>
      </c>
      <c r="E86" s="372">
        <v>37937</v>
      </c>
      <c r="F86" s="372">
        <v>35.879199999999997</v>
      </c>
      <c r="G86" s="372">
        <v>25174.007000000001</v>
      </c>
      <c r="H86" s="372">
        <f>E86-G86</f>
        <v>12762.992999999999</v>
      </c>
      <c r="I86" s="372">
        <v>28164.55387</v>
      </c>
      <c r="J86" s="154"/>
      <c r="K86" s="126"/>
      <c r="L86" s="154"/>
      <c r="M86" s="154"/>
    </row>
    <row r="87" spans="1:13" ht="15.75" thickBot="1" x14ac:dyDescent="0.3">
      <c r="A87" s="118"/>
      <c r="B87" s="116"/>
      <c r="C87" s="299" t="s">
        <v>11</v>
      </c>
      <c r="D87" s="295">
        <v>750</v>
      </c>
      <c r="E87" s="373">
        <v>825</v>
      </c>
      <c r="F87" s="373">
        <v>0.5726</v>
      </c>
      <c r="G87" s="373">
        <v>239.92359999999999</v>
      </c>
      <c r="H87" s="373">
        <f>E87-G87</f>
        <v>585.07640000000004</v>
      </c>
      <c r="I87" s="373">
        <v>367.83494999999999</v>
      </c>
      <c r="J87" s="154"/>
      <c r="K87" s="126"/>
      <c r="L87" s="154"/>
      <c r="M87" s="154"/>
    </row>
    <row r="88" spans="1:13" ht="14.1" customHeight="1" x14ac:dyDescent="0.25">
      <c r="A88" s="118"/>
      <c r="B88" s="4"/>
      <c r="C88" s="245" t="s">
        <v>17</v>
      </c>
      <c r="D88" s="287">
        <f t="shared" ref="D88" si="1">D89+D94+D95</f>
        <v>67105</v>
      </c>
      <c r="E88" s="371">
        <f t="shared" ref="E88:I88" si="2">E89+E94+E95</f>
        <v>70774</v>
      </c>
      <c r="F88" s="371">
        <f t="shared" si="2"/>
        <v>354.14040999999997</v>
      </c>
      <c r="G88" s="371">
        <f t="shared" si="2"/>
        <v>33193.598319999997</v>
      </c>
      <c r="H88" s="371">
        <f>H89+H94+H95</f>
        <v>37580.401680000003</v>
      </c>
      <c r="I88" s="371">
        <f t="shared" si="2"/>
        <v>35105.604179999995</v>
      </c>
      <c r="J88" s="154"/>
      <c r="K88" s="126"/>
      <c r="L88" s="154"/>
      <c r="M88" s="154"/>
    </row>
    <row r="89" spans="1:13" ht="15.75" customHeight="1" x14ac:dyDescent="0.25">
      <c r="A89" s="118"/>
      <c r="B89" s="39"/>
      <c r="C89" s="252" t="s">
        <v>80</v>
      </c>
      <c r="D89" s="289">
        <f t="shared" ref="D89" si="3">D90+D91+D92+D93</f>
        <v>50046</v>
      </c>
      <c r="E89" s="374">
        <f t="shared" ref="E89:I89" si="4">E90+E91+E92+E93</f>
        <v>54332</v>
      </c>
      <c r="F89" s="374">
        <f t="shared" si="4"/>
        <v>282.76920000000001</v>
      </c>
      <c r="G89" s="374">
        <f t="shared" si="4"/>
        <v>25998.331579999998</v>
      </c>
      <c r="H89" s="374">
        <f>H90+H91+H92+H93</f>
        <v>28333.668420000002</v>
      </c>
      <c r="I89" s="374">
        <f t="shared" si="4"/>
        <v>26942.206910000001</v>
      </c>
      <c r="J89" s="154"/>
      <c r="K89" s="126"/>
      <c r="L89" s="154"/>
      <c r="M89" s="154"/>
    </row>
    <row r="90" spans="1:13" ht="14.1" customHeight="1" x14ac:dyDescent="0.25">
      <c r="A90" s="113"/>
      <c r="B90" s="134"/>
      <c r="C90" s="251" t="s">
        <v>22</v>
      </c>
      <c r="D90" s="290">
        <v>13337</v>
      </c>
      <c r="E90" s="375">
        <v>14884</v>
      </c>
      <c r="F90" s="375">
        <v>97.251499999999993</v>
      </c>
      <c r="G90" s="375">
        <v>3454.2448100000001</v>
      </c>
      <c r="H90" s="375">
        <f t="shared" ref="H90:H98" si="5">E90-G90</f>
        <v>11429.75519</v>
      </c>
      <c r="I90" s="375">
        <v>3729.08898</v>
      </c>
      <c r="J90" s="154"/>
      <c r="K90" s="126"/>
      <c r="L90" s="154"/>
      <c r="M90" s="154"/>
    </row>
    <row r="91" spans="1:13" ht="14.1" customHeight="1" x14ac:dyDescent="0.25">
      <c r="A91" s="113"/>
      <c r="B91" s="134"/>
      <c r="C91" s="251" t="s">
        <v>23</v>
      </c>
      <c r="D91" s="290">
        <v>13743</v>
      </c>
      <c r="E91" s="375">
        <v>15259</v>
      </c>
      <c r="F91" s="375">
        <v>40.064219999999999</v>
      </c>
      <c r="G91" s="375">
        <v>7722.3953099999999</v>
      </c>
      <c r="H91" s="375">
        <f t="shared" si="5"/>
        <v>7536.6046900000001</v>
      </c>
      <c r="I91" s="375">
        <v>7880.0311000000002</v>
      </c>
      <c r="J91" s="154"/>
      <c r="K91" s="126"/>
      <c r="L91" s="154"/>
      <c r="M91" s="154"/>
    </row>
    <row r="92" spans="1:13" ht="14.1" customHeight="1" x14ac:dyDescent="0.25">
      <c r="A92" s="113"/>
      <c r="B92" s="134"/>
      <c r="C92" s="251" t="s">
        <v>24</v>
      </c>
      <c r="D92" s="290">
        <v>14275</v>
      </c>
      <c r="E92" s="375">
        <v>15859</v>
      </c>
      <c r="F92" s="375">
        <v>139.00996000000001</v>
      </c>
      <c r="G92" s="375">
        <v>8769.25396</v>
      </c>
      <c r="H92" s="375">
        <f t="shared" si="5"/>
        <v>7089.74604</v>
      </c>
      <c r="I92" s="375">
        <v>9009.9539000000004</v>
      </c>
      <c r="J92" s="154"/>
      <c r="K92" s="126"/>
      <c r="L92" s="154"/>
      <c r="M92" s="154"/>
    </row>
    <row r="93" spans="1:13" ht="14.1" customHeight="1" x14ac:dyDescent="0.25">
      <c r="A93" s="113"/>
      <c r="B93" s="134"/>
      <c r="C93" s="251" t="s">
        <v>82</v>
      </c>
      <c r="D93" s="290">
        <v>8691</v>
      </c>
      <c r="E93" s="375">
        <v>8330</v>
      </c>
      <c r="F93" s="375">
        <v>6.4435200000000004</v>
      </c>
      <c r="G93" s="375">
        <v>6052.4375</v>
      </c>
      <c r="H93" s="375">
        <f t="shared" si="5"/>
        <v>2277.5625</v>
      </c>
      <c r="I93" s="375">
        <v>6323.1329299999998</v>
      </c>
      <c r="J93" s="154"/>
      <c r="K93" s="126"/>
      <c r="L93" s="154"/>
      <c r="M93" s="154"/>
    </row>
    <row r="94" spans="1:13" ht="14.1" customHeight="1" x14ac:dyDescent="0.25">
      <c r="A94" s="113"/>
      <c r="B94" s="134"/>
      <c r="C94" s="252" t="s">
        <v>29</v>
      </c>
      <c r="D94" s="289">
        <v>11810</v>
      </c>
      <c r="E94" s="374">
        <v>11135</v>
      </c>
      <c r="F94" s="374">
        <v>50.883000000000003</v>
      </c>
      <c r="G94" s="374">
        <v>6163.5235899999998</v>
      </c>
      <c r="H94" s="374">
        <f t="shared" si="5"/>
        <v>4971.4764100000002</v>
      </c>
      <c r="I94" s="374">
        <v>7258.9002</v>
      </c>
      <c r="J94" s="154"/>
      <c r="K94" s="126"/>
      <c r="L94" s="154"/>
      <c r="M94" s="154"/>
    </row>
    <row r="95" spans="1:13" ht="14.1" customHeight="1" thickBot="1" x14ac:dyDescent="0.3">
      <c r="A95" s="118"/>
      <c r="B95" s="39"/>
      <c r="C95" s="253" t="s">
        <v>79</v>
      </c>
      <c r="D95" s="294">
        <v>5249</v>
      </c>
      <c r="E95" s="395">
        <v>5307</v>
      </c>
      <c r="F95" s="395">
        <v>20.488209999999999</v>
      </c>
      <c r="G95" s="395">
        <v>1031.74315</v>
      </c>
      <c r="H95" s="395">
        <f t="shared" si="5"/>
        <v>4275.2568499999998</v>
      </c>
      <c r="I95" s="395">
        <v>904.49707000000001</v>
      </c>
      <c r="J95" s="154"/>
      <c r="K95" s="126"/>
      <c r="L95" s="154"/>
      <c r="M95" s="154"/>
    </row>
    <row r="96" spans="1:13" ht="15.75" thickBot="1" x14ac:dyDescent="0.3">
      <c r="A96" s="118"/>
      <c r="B96" s="39"/>
      <c r="C96" s="171" t="s">
        <v>13</v>
      </c>
      <c r="D96" s="309">
        <v>351</v>
      </c>
      <c r="E96" s="377">
        <v>351</v>
      </c>
      <c r="F96" s="377"/>
      <c r="G96" s="377">
        <v>9.4123000000000001</v>
      </c>
      <c r="H96" s="377">
        <f t="shared" si="5"/>
        <v>341.58769999999998</v>
      </c>
      <c r="I96" s="377">
        <v>17.88006</v>
      </c>
      <c r="J96" s="154"/>
      <c r="K96" s="126"/>
      <c r="L96" s="154"/>
      <c r="M96" s="154"/>
    </row>
    <row r="97" spans="1:13" ht="18" thickBot="1" x14ac:dyDescent="0.3">
      <c r="A97" s="118"/>
      <c r="B97" s="116"/>
      <c r="C97" s="171" t="s">
        <v>61</v>
      </c>
      <c r="D97" s="292">
        <v>300</v>
      </c>
      <c r="E97" s="378">
        <v>300</v>
      </c>
      <c r="F97" s="378">
        <v>1</v>
      </c>
      <c r="G97" s="378">
        <v>300</v>
      </c>
      <c r="H97" s="378">
        <f t="shared" si="5"/>
        <v>0</v>
      </c>
      <c r="I97" s="378">
        <v>54.095579999999998</v>
      </c>
      <c r="J97" s="154"/>
      <c r="K97" s="126"/>
      <c r="L97" s="154"/>
      <c r="M97" s="154"/>
    </row>
    <row r="98" spans="1:13" ht="16.5" customHeight="1" thickBot="1" x14ac:dyDescent="0.3">
      <c r="A98" s="118"/>
      <c r="B98" s="116"/>
      <c r="C98" s="244" t="s">
        <v>115</v>
      </c>
      <c r="D98" s="292"/>
      <c r="E98" s="378"/>
      <c r="F98" s="378"/>
      <c r="G98" s="378">
        <v>9</v>
      </c>
      <c r="H98" s="378">
        <f t="shared" si="5"/>
        <v>-9</v>
      </c>
      <c r="I98" s="378">
        <v>38</v>
      </c>
      <c r="J98" s="154"/>
      <c r="K98" s="126"/>
      <c r="L98" s="154"/>
      <c r="M98" s="154"/>
    </row>
    <row r="99" spans="1:13" ht="16.5" thickBot="1" x14ac:dyDescent="0.3">
      <c r="A99" s="118"/>
      <c r="B99" s="116"/>
      <c r="C99" s="177" t="s">
        <v>9</v>
      </c>
      <c r="D99" s="293">
        <f>D85+D88+D96+D97+D98</f>
        <v>107971</v>
      </c>
      <c r="E99" s="340">
        <f>E85+E88+E96+E97+E98</f>
        <v>110187</v>
      </c>
      <c r="F99" s="340">
        <f t="shared" ref="F99:G99" si="6">F85+F88+F96+F97+F98</f>
        <v>391.59220999999997</v>
      </c>
      <c r="G99" s="340">
        <f t="shared" si="6"/>
        <v>58925.941220000001</v>
      </c>
      <c r="H99" s="340">
        <f>H85+H88+H96+H97+H98</f>
        <v>51261.058779999999</v>
      </c>
      <c r="I99" s="340">
        <f>I85+I88+I96+I97+I98</f>
        <v>63747.968639999999</v>
      </c>
      <c r="J99" s="154"/>
      <c r="K99" s="126"/>
      <c r="L99" s="154"/>
      <c r="M99" s="154"/>
    </row>
    <row r="100" spans="1:13" ht="15" x14ac:dyDescent="0.25">
      <c r="A100" s="118"/>
      <c r="B100" s="116"/>
      <c r="C100" s="121" t="s">
        <v>117</v>
      </c>
      <c r="D100" s="178"/>
      <c r="E100" s="178"/>
      <c r="F100" s="179"/>
      <c r="G100" s="179"/>
      <c r="H100" s="180"/>
      <c r="I100" s="161"/>
      <c r="J100" s="154"/>
      <c r="K100" s="126"/>
      <c r="L100" s="154"/>
      <c r="M100" s="154"/>
    </row>
    <row r="101" spans="1:13" ht="13.5" customHeight="1" x14ac:dyDescent="0.25">
      <c r="B101" s="13"/>
      <c r="C101" s="194" t="s">
        <v>132</v>
      </c>
      <c r="D101" s="129"/>
      <c r="E101" s="129"/>
      <c r="F101" s="169"/>
      <c r="G101" s="169"/>
      <c r="H101" s="161"/>
      <c r="I101" s="161"/>
      <c r="J101" s="161"/>
      <c r="K101" s="15"/>
      <c r="L101" s="121"/>
      <c r="M101" s="121"/>
    </row>
    <row r="102" spans="1:13" ht="13.5" customHeight="1" x14ac:dyDescent="0.25">
      <c r="B102" s="120"/>
      <c r="C102" s="194" t="s">
        <v>103</v>
      </c>
      <c r="D102" s="129"/>
      <c r="E102" s="129"/>
      <c r="F102" s="169"/>
      <c r="G102" s="169"/>
      <c r="H102" s="161"/>
      <c r="I102" s="161"/>
      <c r="J102" s="161"/>
      <c r="K102" s="122"/>
      <c r="L102" s="121"/>
      <c r="M102" s="121"/>
    </row>
    <row r="103" spans="1:13" ht="15.75" thickBot="1" x14ac:dyDescent="0.3">
      <c r="B103" s="24"/>
      <c r="C103" s="195" t="s">
        <v>116</v>
      </c>
      <c r="D103" s="195"/>
      <c r="E103" s="195"/>
      <c r="F103" s="195"/>
      <c r="G103" s="101"/>
      <c r="H103" s="101"/>
      <c r="I103" s="25"/>
      <c r="J103" s="132"/>
      <c r="K103" s="26"/>
      <c r="L103" s="121"/>
      <c r="M103" s="121"/>
    </row>
    <row r="104" spans="1:13" ht="8.25" customHeight="1" thickTop="1" x14ac:dyDescent="0.25">
      <c r="B104" s="14"/>
      <c r="C104" s="14"/>
      <c r="D104" s="14"/>
      <c r="E104" s="14"/>
      <c r="F104" s="14"/>
      <c r="G104" s="14"/>
      <c r="H104" s="14"/>
      <c r="I104" s="14"/>
      <c r="J104" s="121"/>
      <c r="K104" s="14"/>
      <c r="L104" s="121"/>
      <c r="M104" s="121"/>
    </row>
    <row r="105" spans="1:13" s="40" customFormat="1" ht="14.25" customHeight="1" thickBot="1" x14ac:dyDescent="0.3">
      <c r="A105" s="78"/>
      <c r="C105" s="63" t="s">
        <v>37</v>
      </c>
      <c r="I105" s="78"/>
      <c r="J105" s="78"/>
      <c r="L105" s="78"/>
      <c r="M105" s="78"/>
    </row>
    <row r="106" spans="1:13" ht="17.100000000000001" customHeight="1" thickTop="1" x14ac:dyDescent="0.25">
      <c r="B106" s="414" t="s">
        <v>1</v>
      </c>
      <c r="C106" s="415"/>
      <c r="D106" s="415"/>
      <c r="E106" s="415"/>
      <c r="F106" s="415"/>
      <c r="G106" s="415"/>
      <c r="H106" s="415"/>
      <c r="I106" s="415"/>
      <c r="J106" s="415"/>
      <c r="K106" s="416"/>
      <c r="L106" s="197"/>
      <c r="M106" s="197"/>
    </row>
    <row r="107" spans="1:13" ht="6" customHeight="1" thickBot="1" x14ac:dyDescent="0.3">
      <c r="B107" s="9"/>
      <c r="C107" s="6"/>
      <c r="D107" s="6"/>
      <c r="E107" s="6"/>
      <c r="F107" s="6"/>
      <c r="G107" s="6"/>
      <c r="H107" s="41"/>
      <c r="I107" s="79"/>
      <c r="J107" s="79"/>
      <c r="K107" s="42"/>
      <c r="L107" s="79"/>
      <c r="M107" s="79"/>
    </row>
    <row r="108" spans="1:13" ht="14.1" customHeight="1" thickBot="1" x14ac:dyDescent="0.3">
      <c r="B108" s="2"/>
      <c r="C108" s="417" t="s">
        <v>2</v>
      </c>
      <c r="D108" s="418"/>
      <c r="E108" s="417" t="s">
        <v>20</v>
      </c>
      <c r="F108" s="418"/>
      <c r="G108" s="417" t="s">
        <v>21</v>
      </c>
      <c r="H108" s="418"/>
      <c r="I108" s="38"/>
      <c r="J108" s="154"/>
      <c r="K108" s="1"/>
      <c r="L108" s="4"/>
      <c r="M108" s="4"/>
    </row>
    <row r="109" spans="1:13" ht="15" customHeight="1" x14ac:dyDescent="0.25">
      <c r="B109" s="9"/>
      <c r="C109" s="11" t="s">
        <v>27</v>
      </c>
      <c r="D109" s="167">
        <v>156482</v>
      </c>
      <c r="E109" s="162" t="s">
        <v>5</v>
      </c>
      <c r="F109" s="228">
        <v>56470</v>
      </c>
      <c r="G109" s="163" t="s">
        <v>25</v>
      </c>
      <c r="H109" s="228">
        <v>6380</v>
      </c>
      <c r="I109" s="38"/>
      <c r="J109" s="154"/>
      <c r="K109" s="42"/>
      <c r="L109" s="79"/>
      <c r="M109" s="79"/>
    </row>
    <row r="110" spans="1:13" ht="14.1" customHeight="1" x14ac:dyDescent="0.25">
      <c r="B110" s="9"/>
      <c r="C110" s="11" t="s">
        <v>3</v>
      </c>
      <c r="D110" s="167">
        <v>12000</v>
      </c>
      <c r="E110" s="163" t="s">
        <v>6</v>
      </c>
      <c r="F110" s="167">
        <v>57996</v>
      </c>
      <c r="G110" s="163" t="s">
        <v>78</v>
      </c>
      <c r="H110" s="167">
        <v>43497</v>
      </c>
      <c r="I110" s="38"/>
      <c r="J110" s="154"/>
      <c r="K110" s="10"/>
      <c r="L110" s="116"/>
      <c r="M110" s="116"/>
    </row>
    <row r="111" spans="1:13" ht="14.1" customHeight="1" x14ac:dyDescent="0.25">
      <c r="B111" s="117"/>
      <c r="C111" s="44" t="s">
        <v>75</v>
      </c>
      <c r="D111" s="167">
        <v>3500</v>
      </c>
      <c r="E111" s="163" t="s">
        <v>38</v>
      </c>
      <c r="F111" s="167">
        <v>38155</v>
      </c>
      <c r="G111" s="163" t="s">
        <v>79</v>
      </c>
      <c r="H111" s="167">
        <v>8119</v>
      </c>
      <c r="I111" s="154"/>
      <c r="J111" s="154"/>
      <c r="K111" s="118"/>
      <c r="L111" s="116"/>
      <c r="M111" s="116"/>
    </row>
    <row r="112" spans="1:13" ht="14.1" customHeight="1" thickBot="1" x14ac:dyDescent="0.3">
      <c r="B112" s="43"/>
      <c r="C112" s="313"/>
      <c r="D112" s="311"/>
      <c r="E112" s="311" t="s">
        <v>77</v>
      </c>
      <c r="F112" s="167">
        <v>3861</v>
      </c>
      <c r="G112" s="11"/>
      <c r="H112" s="313"/>
      <c r="I112" s="38"/>
      <c r="J112" s="154"/>
      <c r="K112" s="10"/>
      <c r="L112" s="116"/>
      <c r="M112" s="116"/>
    </row>
    <row r="113" spans="2:13" ht="14.1" customHeight="1" thickBot="1" x14ac:dyDescent="0.3">
      <c r="B113" s="9"/>
      <c r="C113" s="12" t="s">
        <v>31</v>
      </c>
      <c r="D113" s="168">
        <f>D109+D110+D111</f>
        <v>171982</v>
      </c>
      <c r="E113" s="312" t="s">
        <v>7</v>
      </c>
      <c r="F113" s="168">
        <f>F109+F110+F111+F112</f>
        <v>156482</v>
      </c>
      <c r="G113" s="119" t="s">
        <v>6</v>
      </c>
      <c r="H113" s="310">
        <f>H109+H110+H111</f>
        <v>57996</v>
      </c>
      <c r="I113" s="38"/>
      <c r="J113" s="154"/>
      <c r="K113" s="10"/>
      <c r="L113" s="116"/>
      <c r="M113" s="116"/>
    </row>
    <row r="114" spans="2:13" s="16" customFormat="1" ht="12" customHeight="1" x14ac:dyDescent="0.25">
      <c r="B114" s="13"/>
      <c r="C114" s="121" t="s">
        <v>119</v>
      </c>
      <c r="D114" s="166"/>
      <c r="E114" s="166"/>
      <c r="F114" s="166"/>
      <c r="G114" s="121"/>
      <c r="H114" s="121"/>
      <c r="I114" s="14"/>
      <c r="J114" s="121"/>
      <c r="K114" s="15"/>
      <c r="L114" s="121"/>
      <c r="M114" s="121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4"/>
      <c r="K115" s="19"/>
      <c r="L115" s="116"/>
      <c r="M115" s="116"/>
    </row>
    <row r="116" spans="2:13" ht="17.100000000000001" customHeight="1" x14ac:dyDescent="0.25">
      <c r="B116" s="419" t="s">
        <v>8</v>
      </c>
      <c r="C116" s="420"/>
      <c r="D116" s="420"/>
      <c r="E116" s="420"/>
      <c r="F116" s="420"/>
      <c r="G116" s="420"/>
      <c r="H116" s="420"/>
      <c r="I116" s="420"/>
      <c r="J116" s="420"/>
      <c r="K116" s="421"/>
      <c r="L116" s="197"/>
      <c r="M116" s="197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6"/>
      <c r="K117" s="10"/>
      <c r="L117" s="116"/>
      <c r="M117" s="116"/>
    </row>
    <row r="118" spans="2:13" s="3" customFormat="1" ht="61.5" customHeight="1" thickBot="1" x14ac:dyDescent="0.3">
      <c r="B118" s="2"/>
      <c r="C118" s="208" t="s">
        <v>19</v>
      </c>
      <c r="D118" s="176" t="s">
        <v>70</v>
      </c>
      <c r="E118" s="176" t="s">
        <v>99</v>
      </c>
      <c r="F118" s="176" t="str">
        <f>F19</f>
        <v>LANDET KVANTUM UKE 28</v>
      </c>
      <c r="G118" s="176" t="str">
        <f>G19</f>
        <v>LANDET KVANTUM T.O.M UKE 28</v>
      </c>
      <c r="H118" s="176" t="str">
        <f>I19</f>
        <v>RESTKVOTER</v>
      </c>
      <c r="I118" s="341" t="str">
        <f>J19</f>
        <v>LANDET KVANTUM T.O.M. UKE 28 2019</v>
      </c>
      <c r="J118" s="4"/>
      <c r="K118" s="1"/>
      <c r="L118" s="4"/>
      <c r="M118" s="4"/>
    </row>
    <row r="119" spans="2:13" s="69" customFormat="1" ht="14.1" customHeight="1" x14ac:dyDescent="0.25">
      <c r="B119" s="9"/>
      <c r="C119" s="245" t="s">
        <v>74</v>
      </c>
      <c r="D119" s="220">
        <f t="shared" ref="D119:E119" si="7">D120+D121+D122</f>
        <v>56470</v>
      </c>
      <c r="E119" s="220">
        <f t="shared" si="7"/>
        <v>52057</v>
      </c>
      <c r="F119" s="329">
        <f t="shared" ref="F119:H119" si="8">F120+F121+F122</f>
        <v>402.00222000000002</v>
      </c>
      <c r="G119" s="329">
        <f t="shared" si="8"/>
        <v>36332.161269999997</v>
      </c>
      <c r="H119" s="329">
        <f t="shared" si="8"/>
        <v>15407.15149</v>
      </c>
      <c r="I119" s="344">
        <f>I120+I121+I122</f>
        <v>32606.965500000002</v>
      </c>
      <c r="J119" s="154"/>
      <c r="K119" s="126"/>
      <c r="L119" s="154"/>
      <c r="M119" s="154"/>
    </row>
    <row r="120" spans="2:13" ht="14.1" customHeight="1" x14ac:dyDescent="0.25">
      <c r="B120" s="9"/>
      <c r="C120" s="246" t="s">
        <v>12</v>
      </c>
      <c r="D120" s="230">
        <v>45176</v>
      </c>
      <c r="E120" s="230">
        <v>41220</v>
      </c>
      <c r="F120" s="330">
        <v>28.661850000000001</v>
      </c>
      <c r="G120" s="330">
        <v>32357.407429999999</v>
      </c>
      <c r="H120" s="330">
        <v>13256.07516</v>
      </c>
      <c r="I120" s="345">
        <v>27180.338790000002</v>
      </c>
      <c r="J120" s="154"/>
      <c r="K120" s="126"/>
      <c r="L120" s="154"/>
      <c r="M120" s="154"/>
    </row>
    <row r="121" spans="2:13" ht="14.1" customHeight="1" x14ac:dyDescent="0.25">
      <c r="B121" s="9"/>
      <c r="C121" s="246" t="s">
        <v>11</v>
      </c>
      <c r="D121" s="230">
        <v>10794</v>
      </c>
      <c r="E121" s="230">
        <v>10337</v>
      </c>
      <c r="F121" s="330">
        <v>373.34037000000001</v>
      </c>
      <c r="G121" s="330">
        <v>3974.7538399999999</v>
      </c>
      <c r="H121" s="330">
        <v>1651.0763300000001</v>
      </c>
      <c r="I121" s="345">
        <v>5426.6267099999995</v>
      </c>
      <c r="J121" s="154"/>
      <c r="K121" s="126"/>
      <c r="L121" s="154"/>
      <c r="M121" s="154"/>
    </row>
    <row r="122" spans="2:13" ht="15.75" thickBot="1" x14ac:dyDescent="0.3">
      <c r="B122" s="9"/>
      <c r="C122" s="247" t="s">
        <v>39</v>
      </c>
      <c r="D122" s="231">
        <v>500</v>
      </c>
      <c r="E122" s="231">
        <v>500</v>
      </c>
      <c r="F122" s="331"/>
      <c r="G122" s="331"/>
      <c r="H122" s="331">
        <f>E122-G122</f>
        <v>500</v>
      </c>
      <c r="I122" s="346"/>
      <c r="J122" s="154"/>
      <c r="K122" s="126"/>
      <c r="L122" s="154"/>
      <c r="M122" s="154"/>
    </row>
    <row r="123" spans="2:13" s="95" customFormat="1" ht="13.5" customHeight="1" thickBot="1" x14ac:dyDescent="0.3">
      <c r="B123" s="97"/>
      <c r="C123" s="248" t="s">
        <v>38</v>
      </c>
      <c r="D123" s="281">
        <v>38155</v>
      </c>
      <c r="E123" s="281">
        <v>34652</v>
      </c>
      <c r="F123" s="332">
        <v>1662.63815</v>
      </c>
      <c r="G123" s="332">
        <f>17677.55742+1221</f>
        <v>18898.557420000001</v>
      </c>
      <c r="H123" s="332">
        <f>E123-G123</f>
        <v>15753.442579999999</v>
      </c>
      <c r="I123" s="284">
        <v>18022.449619999999</v>
      </c>
      <c r="J123" s="98"/>
      <c r="K123" s="126"/>
      <c r="L123" s="154"/>
      <c r="M123" s="154"/>
    </row>
    <row r="124" spans="2:13" s="69" customFormat="1" ht="14.25" customHeight="1" thickBot="1" x14ac:dyDescent="0.3">
      <c r="B124" s="9"/>
      <c r="C124" s="249" t="s">
        <v>17</v>
      </c>
      <c r="D124" s="214">
        <f>D125+D130+D133</f>
        <v>59468</v>
      </c>
      <c r="E124" s="214">
        <f>E125+E130+E133</f>
        <v>53642</v>
      </c>
      <c r="F124" s="333">
        <f>F125+F130+F133</f>
        <v>310.52074000000005</v>
      </c>
      <c r="G124" s="333">
        <f>G133+G130+G125</f>
        <v>32599.392629999998</v>
      </c>
      <c r="H124" s="342">
        <f>H125+H130+H133</f>
        <v>21042.607370000002</v>
      </c>
      <c r="I124" s="300">
        <f>I125+I130+I133</f>
        <v>38543.968410000001</v>
      </c>
      <c r="J124" s="116"/>
      <c r="K124" s="126"/>
      <c r="L124" s="154"/>
      <c r="M124" s="154"/>
    </row>
    <row r="125" spans="2:13" ht="15.75" customHeight="1" x14ac:dyDescent="0.25">
      <c r="B125" s="2"/>
      <c r="C125" s="250" t="s">
        <v>85</v>
      </c>
      <c r="D125" s="306">
        <f>D126+D127+D128+D129</f>
        <v>44969</v>
      </c>
      <c r="E125" s="306">
        <f>E126+E127+E128+E129</f>
        <v>40509</v>
      </c>
      <c r="F125" s="334">
        <f>F126+F127+F128+F129</f>
        <v>227.84343000000001</v>
      </c>
      <c r="G125" s="334">
        <f>G126+G127+G129+G128</f>
        <v>23247.50232</v>
      </c>
      <c r="H125" s="343">
        <f>H126+H127+H128+H129</f>
        <v>17261.49768</v>
      </c>
      <c r="I125" s="347">
        <f>I126+I127+I128+I129</f>
        <v>28547.033759999998</v>
      </c>
      <c r="J125" s="4"/>
      <c r="K125" s="126"/>
      <c r="L125" s="154"/>
      <c r="M125" s="154"/>
    </row>
    <row r="126" spans="2:13" s="22" customFormat="1" ht="14.1" customHeight="1" x14ac:dyDescent="0.25">
      <c r="B126" s="45"/>
      <c r="C126" s="251" t="s">
        <v>22</v>
      </c>
      <c r="D126" s="227">
        <v>11917</v>
      </c>
      <c r="E126" s="227">
        <v>12976</v>
      </c>
      <c r="F126" s="335">
        <v>38.878799999999998</v>
      </c>
      <c r="G126" s="335">
        <v>4925.1962299999996</v>
      </c>
      <c r="H126" s="335">
        <f t="shared" ref="H126:H138" si="9">E126-G126</f>
        <v>8050.8037700000004</v>
      </c>
      <c r="I126" s="348">
        <v>4546.8657700000003</v>
      </c>
      <c r="J126" s="46"/>
      <c r="K126" s="126"/>
      <c r="L126" s="154"/>
      <c r="M126" s="154"/>
    </row>
    <row r="127" spans="2:13" s="22" customFormat="1" ht="14.1" customHeight="1" x14ac:dyDescent="0.25">
      <c r="B127" s="128"/>
      <c r="C127" s="251" t="s">
        <v>23</v>
      </c>
      <c r="D127" s="227">
        <v>12852</v>
      </c>
      <c r="E127" s="227">
        <v>10724</v>
      </c>
      <c r="F127" s="335">
        <v>82.579530000000005</v>
      </c>
      <c r="G127" s="335">
        <f>6597.39228-111</f>
        <v>6486.39228</v>
      </c>
      <c r="H127" s="335">
        <f t="shared" si="9"/>
        <v>4237.60772</v>
      </c>
      <c r="I127" s="348">
        <v>7497.4223199999997</v>
      </c>
      <c r="J127" s="134"/>
      <c r="K127" s="126"/>
      <c r="L127" s="154"/>
      <c r="M127" s="154"/>
    </row>
    <row r="128" spans="2:13" s="22" customFormat="1" ht="14.1" customHeight="1" x14ac:dyDescent="0.25">
      <c r="B128" s="128"/>
      <c r="C128" s="251" t="s">
        <v>24</v>
      </c>
      <c r="D128" s="227">
        <v>11166</v>
      </c>
      <c r="E128" s="227">
        <v>8990</v>
      </c>
      <c r="F128" s="335">
        <v>57.794699999999999</v>
      </c>
      <c r="G128" s="335">
        <f>7275.28171-680</f>
        <v>6595.2817100000002</v>
      </c>
      <c r="H128" s="335">
        <f t="shared" si="9"/>
        <v>2394.7182899999998</v>
      </c>
      <c r="I128" s="348">
        <v>8814.3153299999994</v>
      </c>
      <c r="J128" s="134"/>
      <c r="K128" s="126"/>
      <c r="L128" s="154"/>
      <c r="M128" s="154"/>
    </row>
    <row r="129" spans="2:13" s="22" customFormat="1" ht="14.1" customHeight="1" x14ac:dyDescent="0.25">
      <c r="B129" s="128"/>
      <c r="C129" s="251" t="s">
        <v>82</v>
      </c>
      <c r="D129" s="227">
        <v>9034</v>
      </c>
      <c r="E129" s="227">
        <v>7819</v>
      </c>
      <c r="F129" s="335">
        <v>48.590400000000002</v>
      </c>
      <c r="G129" s="335">
        <f>5670.6321-430</f>
        <v>5240.6320999999998</v>
      </c>
      <c r="H129" s="335">
        <f t="shared" si="9"/>
        <v>2578.3679000000002</v>
      </c>
      <c r="I129" s="348">
        <v>7688.4303399999999</v>
      </c>
      <c r="J129" s="134"/>
      <c r="K129" s="126"/>
      <c r="L129" s="154"/>
      <c r="M129" s="154"/>
    </row>
    <row r="130" spans="2:13" s="23" customFormat="1" ht="14.1" customHeight="1" x14ac:dyDescent="0.25">
      <c r="B130" s="20"/>
      <c r="C130" s="252" t="s">
        <v>18</v>
      </c>
      <c r="D130" s="221">
        <f>D132+D131</f>
        <v>6380</v>
      </c>
      <c r="E130" s="221">
        <v>5924</v>
      </c>
      <c r="F130" s="336">
        <v>1.1420999999999999</v>
      </c>
      <c r="G130" s="336">
        <v>5707.1950399999996</v>
      </c>
      <c r="H130" s="336">
        <f t="shared" si="9"/>
        <v>216.80496000000039</v>
      </c>
      <c r="I130" s="349">
        <v>6222.5537400000003</v>
      </c>
      <c r="J130" s="39"/>
      <c r="K130" s="126"/>
      <c r="L130" s="154"/>
      <c r="M130" s="154"/>
    </row>
    <row r="131" spans="2:13" ht="14.1" customHeight="1" x14ac:dyDescent="0.25">
      <c r="B131" s="9"/>
      <c r="C131" s="251" t="s">
        <v>40</v>
      </c>
      <c r="D131" s="227">
        <v>5880</v>
      </c>
      <c r="E131" s="227">
        <f>E130-500</f>
        <v>5424</v>
      </c>
      <c r="F131" s="335">
        <v>1.1420999999999999</v>
      </c>
      <c r="G131" s="335">
        <v>5671.4675399999996</v>
      </c>
      <c r="H131" s="335">
        <f t="shared" si="9"/>
        <v>-247.46753999999964</v>
      </c>
      <c r="I131" s="348">
        <v>6171.7776800000001</v>
      </c>
      <c r="J131" s="116"/>
      <c r="K131" s="126"/>
      <c r="L131" s="154"/>
      <c r="M131" s="154"/>
    </row>
    <row r="132" spans="2:13" ht="14.1" customHeight="1" x14ac:dyDescent="0.25">
      <c r="B132" s="20"/>
      <c r="C132" s="251" t="s">
        <v>41</v>
      </c>
      <c r="D132" s="227">
        <v>500</v>
      </c>
      <c r="E132" s="227">
        <v>500</v>
      </c>
      <c r="F132" s="335">
        <f>F130-F131</f>
        <v>0</v>
      </c>
      <c r="G132" s="335">
        <f>G130-G131</f>
        <v>35.727499999999964</v>
      </c>
      <c r="H132" s="335">
        <f t="shared" si="9"/>
        <v>464.27250000000004</v>
      </c>
      <c r="I132" s="348">
        <f>I130-I131</f>
        <v>50.776060000000143</v>
      </c>
      <c r="J132" s="39"/>
      <c r="K132" s="126"/>
      <c r="L132" s="154"/>
      <c r="M132" s="154"/>
    </row>
    <row r="133" spans="2:13" ht="15.75" thickBot="1" x14ac:dyDescent="0.3">
      <c r="B133" s="9"/>
      <c r="C133" s="253" t="s">
        <v>79</v>
      </c>
      <c r="D133" s="243">
        <v>8119</v>
      </c>
      <c r="E133" s="243">
        <v>7209</v>
      </c>
      <c r="F133" s="337">
        <v>81.535210000000006</v>
      </c>
      <c r="G133" s="337">
        <v>3644.6952700000002</v>
      </c>
      <c r="H133" s="337">
        <f t="shared" si="9"/>
        <v>3564.3047299999998</v>
      </c>
      <c r="I133" s="350">
        <v>3774.3809099999999</v>
      </c>
      <c r="J133" s="116"/>
      <c r="K133" s="126"/>
      <c r="L133" s="154"/>
      <c r="M133" s="154"/>
    </row>
    <row r="134" spans="2:13" s="69" customFormat="1" ht="15.75" thickBot="1" x14ac:dyDescent="0.3">
      <c r="B134" s="9"/>
      <c r="C134" s="249" t="s">
        <v>13</v>
      </c>
      <c r="D134" s="214">
        <v>139</v>
      </c>
      <c r="E134" s="214">
        <f>D134</f>
        <v>139</v>
      </c>
      <c r="F134" s="333"/>
      <c r="G134" s="333">
        <v>12.69735</v>
      </c>
      <c r="H134" s="333">
        <f t="shared" si="9"/>
        <v>126.30265</v>
      </c>
      <c r="I134" s="219">
        <v>12.166</v>
      </c>
      <c r="J134" s="116"/>
      <c r="K134" s="126"/>
      <c r="L134" s="154"/>
      <c r="M134" s="154"/>
    </row>
    <row r="135" spans="2:13" s="69" customFormat="1" ht="15.75" thickBot="1" x14ac:dyDescent="0.3">
      <c r="B135" s="9"/>
      <c r="C135" s="254" t="s">
        <v>42</v>
      </c>
      <c r="D135" s="282">
        <v>250</v>
      </c>
      <c r="E135" s="282">
        <v>250</v>
      </c>
      <c r="F135" s="338"/>
      <c r="G135" s="338">
        <v>207.3338</v>
      </c>
      <c r="H135" s="338">
        <f t="shared" si="9"/>
        <v>42.666200000000003</v>
      </c>
      <c r="I135" s="285">
        <v>240.465</v>
      </c>
      <c r="J135" s="116"/>
      <c r="K135" s="126"/>
      <c r="L135" s="154"/>
      <c r="M135" s="154"/>
    </row>
    <row r="136" spans="2:13" s="69" customFormat="1" ht="18" thickBot="1" x14ac:dyDescent="0.3">
      <c r="B136" s="9"/>
      <c r="C136" s="254" t="s">
        <v>65</v>
      </c>
      <c r="D136" s="214">
        <v>2000</v>
      </c>
      <c r="E136" s="214">
        <v>2000</v>
      </c>
      <c r="F136" s="333">
        <v>22</v>
      </c>
      <c r="G136" s="333">
        <v>2000</v>
      </c>
      <c r="H136" s="333">
        <f>E136-G136</f>
        <v>0</v>
      </c>
      <c r="I136" s="219">
        <v>2000</v>
      </c>
      <c r="J136" s="154"/>
      <c r="K136" s="126"/>
      <c r="L136" s="154"/>
      <c r="M136" s="154"/>
    </row>
    <row r="137" spans="2:13" s="69" customFormat="1" ht="15.75" thickBot="1" x14ac:dyDescent="0.3">
      <c r="B137" s="9"/>
      <c r="C137" s="209" t="s">
        <v>14</v>
      </c>
      <c r="D137" s="213"/>
      <c r="E137" s="213"/>
      <c r="F137" s="339"/>
      <c r="G137" s="339">
        <v>575</v>
      </c>
      <c r="H137" s="339">
        <f t="shared" si="9"/>
        <v>-575</v>
      </c>
      <c r="I137" s="283">
        <v>231</v>
      </c>
      <c r="J137" s="116"/>
      <c r="K137" s="126"/>
      <c r="L137" s="154"/>
      <c r="M137" s="154"/>
    </row>
    <row r="138" spans="2:13" s="3" customFormat="1" ht="16.5" thickBot="1" x14ac:dyDescent="0.3">
      <c r="B138" s="2"/>
      <c r="C138" s="32" t="s">
        <v>9</v>
      </c>
      <c r="D138" s="184">
        <f>D119+D123+D124+D134+D135+D136</f>
        <v>156482</v>
      </c>
      <c r="E138" s="184">
        <f>E119+E123+E124+E134+E135+E136</f>
        <v>142740</v>
      </c>
      <c r="F138" s="340">
        <f>F119+F123+F124+F134+F135+F136+F137</f>
        <v>2397.16111</v>
      </c>
      <c r="G138" s="340">
        <f>G119+G123+G124+G134+G135+G136+G137</f>
        <v>90625.142469999992</v>
      </c>
      <c r="H138" s="340">
        <f t="shared" si="9"/>
        <v>52114.857530000008</v>
      </c>
      <c r="I138" s="323">
        <f>I119+I123+I124+I134+I135+I136+I137</f>
        <v>91657.01453</v>
      </c>
      <c r="J138" s="170"/>
      <c r="K138" s="126"/>
      <c r="L138" s="154"/>
      <c r="M138" s="154"/>
    </row>
    <row r="139" spans="2:13" s="3" customFormat="1" ht="14.25" customHeight="1" x14ac:dyDescent="0.25">
      <c r="B139" s="2"/>
      <c r="C139" s="302" t="s">
        <v>94</v>
      </c>
      <c r="D139" s="34"/>
      <c r="E139" s="34"/>
      <c r="F139" s="34"/>
      <c r="G139" s="34"/>
      <c r="H139" s="170"/>
      <c r="I139" s="170"/>
      <c r="J139" s="170"/>
      <c r="K139" s="1"/>
      <c r="L139" s="4"/>
      <c r="M139" s="4"/>
    </row>
    <row r="140" spans="2:13" s="3" customFormat="1" ht="14.25" customHeight="1" x14ac:dyDescent="0.25">
      <c r="B140" s="2"/>
      <c r="C140" s="121" t="s">
        <v>120</v>
      </c>
      <c r="D140" s="34"/>
      <c r="E140" s="34"/>
      <c r="F140" s="34"/>
      <c r="G140" s="34"/>
      <c r="H140" s="170"/>
      <c r="I140" s="4"/>
      <c r="J140" s="4"/>
      <c r="K140" s="68"/>
      <c r="L140" s="4"/>
      <c r="M140" s="4"/>
    </row>
    <row r="141" spans="2:13" s="3" customFormat="1" ht="14.25" customHeight="1" x14ac:dyDescent="0.25">
      <c r="B141" s="115"/>
      <c r="C141" s="194" t="s">
        <v>133</v>
      </c>
      <c r="D141" s="34"/>
      <c r="E141" s="34"/>
      <c r="F141" s="34"/>
      <c r="G141" s="34"/>
      <c r="H141" s="170"/>
      <c r="I141" s="170"/>
      <c r="J141" s="4"/>
      <c r="K141" s="114"/>
      <c r="L141" s="4"/>
      <c r="M141" s="4"/>
    </row>
    <row r="142" spans="2:13" ht="16.5" thickBot="1" x14ac:dyDescent="0.3">
      <c r="B142" s="35"/>
      <c r="C142" s="132" t="s">
        <v>102</v>
      </c>
      <c r="D142" s="198"/>
      <c r="E142" s="198"/>
      <c r="F142" s="47"/>
      <c r="G142" s="47"/>
      <c r="H142" s="36"/>
      <c r="I142" s="76"/>
      <c r="J142" s="152"/>
      <c r="K142" s="37"/>
      <c r="L142" s="116"/>
      <c r="M142" s="116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6"/>
      <c r="K143" s="6"/>
      <c r="L143" s="116"/>
      <c r="M143" s="116"/>
    </row>
    <row r="144" spans="2:13" ht="12" customHeight="1" x14ac:dyDescent="0.25">
      <c r="B144" s="116"/>
      <c r="C144" s="134"/>
      <c r="D144" s="135"/>
      <c r="E144" s="135"/>
      <c r="F144" s="135"/>
      <c r="G144" s="135"/>
      <c r="H144" s="116"/>
      <c r="I144" s="116"/>
      <c r="J144" s="116"/>
      <c r="K144" s="116"/>
      <c r="L144" s="116"/>
      <c r="M144" s="116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6"/>
      <c r="K145" s="6"/>
      <c r="L145" s="116"/>
      <c r="M145" s="116"/>
    </row>
    <row r="146" spans="2:13" ht="20.25" customHeight="1" thickBot="1" x14ac:dyDescent="0.35">
      <c r="B146" s="116"/>
      <c r="C146" s="206" t="s">
        <v>63</v>
      </c>
      <c r="D146" s="135"/>
      <c r="E146" s="135"/>
      <c r="F146" s="135"/>
      <c r="G146" s="135"/>
      <c r="H146" s="116"/>
      <c r="I146" s="116"/>
      <c r="J146" s="116"/>
      <c r="K146" s="116"/>
      <c r="L146" s="116"/>
      <c r="M146" s="116"/>
    </row>
    <row r="147" spans="2:13" ht="12" customHeight="1" thickTop="1" thickBot="1" x14ac:dyDescent="0.3">
      <c r="B147" s="200"/>
      <c r="C147" s="201"/>
      <c r="D147" s="202"/>
      <c r="E147" s="202"/>
      <c r="F147" s="202"/>
      <c r="G147" s="202"/>
      <c r="H147" s="203"/>
      <c r="I147" s="203"/>
      <c r="J147" s="203"/>
      <c r="K147" s="204"/>
      <c r="L147" s="116"/>
      <c r="M147" s="116"/>
    </row>
    <row r="148" spans="2:13" ht="12" customHeight="1" thickBot="1" x14ac:dyDescent="0.3">
      <c r="B148" s="117"/>
      <c r="C148" s="406" t="s">
        <v>2</v>
      </c>
      <c r="D148" s="407"/>
      <c r="E148" s="186"/>
      <c r="F148" s="186"/>
      <c r="G148" s="135"/>
      <c r="H148" s="116"/>
      <c r="I148" s="116"/>
      <c r="J148" s="116"/>
      <c r="K148" s="118"/>
      <c r="L148" s="116"/>
      <c r="M148" s="116"/>
    </row>
    <row r="149" spans="2:13" ht="15" customHeight="1" x14ac:dyDescent="0.25">
      <c r="B149" s="117"/>
      <c r="C149" s="255" t="s">
        <v>55</v>
      </c>
      <c r="D149" s="256">
        <v>36219</v>
      </c>
      <c r="E149" s="257"/>
      <c r="F149" s="186"/>
      <c r="G149" s="135"/>
      <c r="H149" s="116"/>
      <c r="I149" s="116"/>
      <c r="J149" s="116"/>
      <c r="K149" s="118"/>
      <c r="L149" s="116"/>
      <c r="M149" s="116"/>
    </row>
    <row r="150" spans="2:13" ht="15" customHeight="1" x14ac:dyDescent="0.25">
      <c r="B150" s="117"/>
      <c r="C150" s="258" t="s">
        <v>67</v>
      </c>
      <c r="D150" s="259">
        <v>13055</v>
      </c>
      <c r="E150" s="257"/>
      <c r="F150" s="186"/>
      <c r="G150" s="135"/>
      <c r="H150" s="116"/>
      <c r="I150" s="116"/>
      <c r="J150" s="116"/>
      <c r="K150" s="118"/>
      <c r="L150" s="116"/>
      <c r="M150" s="116"/>
    </row>
    <row r="151" spans="2:13" ht="15" customHeight="1" thickBot="1" x14ac:dyDescent="0.3">
      <c r="B151" s="117"/>
      <c r="C151" s="260" t="s">
        <v>68</v>
      </c>
      <c r="D151" s="259">
        <v>6586</v>
      </c>
      <c r="E151" s="257"/>
      <c r="F151" s="186"/>
      <c r="G151" s="135"/>
      <c r="H151" s="116"/>
      <c r="I151" s="116"/>
      <c r="J151" s="116"/>
      <c r="K151" s="118"/>
      <c r="L151" s="116"/>
      <c r="M151" s="116"/>
    </row>
    <row r="152" spans="2:13" ht="16.5" thickBot="1" x14ac:dyDescent="0.3">
      <c r="B152" s="117"/>
      <c r="C152" s="261" t="s">
        <v>31</v>
      </c>
      <c r="D152" s="262">
        <f>D149+D150+D151</f>
        <v>55860</v>
      </c>
      <c r="E152" s="257"/>
      <c r="F152" s="186"/>
      <c r="G152" s="135"/>
      <c r="H152" s="116"/>
      <c r="I152" s="116"/>
      <c r="J152" s="116"/>
      <c r="K152" s="118"/>
      <c r="L152" s="116"/>
      <c r="M152" s="116"/>
    </row>
    <row r="153" spans="2:13" ht="11.25" customHeight="1" x14ac:dyDescent="0.25">
      <c r="B153" s="117"/>
      <c r="C153" s="263" t="s">
        <v>121</v>
      </c>
      <c r="D153" s="264"/>
      <c r="E153" s="264"/>
      <c r="F153" s="135"/>
      <c r="G153" s="135"/>
      <c r="H153" s="116"/>
      <c r="I153" s="116"/>
      <c r="J153" s="116"/>
      <c r="K153" s="118"/>
      <c r="L153" s="116"/>
      <c r="M153" s="116"/>
    </row>
    <row r="154" spans="2:13" ht="11.25" customHeight="1" x14ac:dyDescent="0.25">
      <c r="B154" s="117"/>
      <c r="C154" s="263" t="s">
        <v>122</v>
      </c>
      <c r="D154" s="264"/>
      <c r="E154" s="264"/>
      <c r="F154" s="135"/>
      <c r="G154" s="135"/>
      <c r="H154" s="116"/>
      <c r="I154" s="116"/>
      <c r="J154" s="116"/>
      <c r="K154" s="118"/>
      <c r="L154" s="116"/>
      <c r="M154" s="116"/>
    </row>
    <row r="155" spans="2:13" ht="12" customHeight="1" x14ac:dyDescent="0.25">
      <c r="B155" s="117"/>
      <c r="C155" s="121" t="s">
        <v>123</v>
      </c>
      <c r="D155" s="135"/>
      <c r="E155" s="135"/>
      <c r="F155" s="135"/>
      <c r="G155" s="135"/>
      <c r="H155" s="116"/>
      <c r="I155" s="116"/>
      <c r="J155" s="116"/>
      <c r="K155" s="118"/>
      <c r="L155" s="116"/>
      <c r="M155" s="116"/>
    </row>
    <row r="156" spans="2:13" ht="5.25" customHeight="1" thickBot="1" x14ac:dyDescent="0.3">
      <c r="B156" s="117"/>
      <c r="C156" s="121"/>
      <c r="D156" s="135"/>
      <c r="E156" s="135"/>
      <c r="F156" s="135"/>
      <c r="G156" s="135"/>
      <c r="H156" s="116"/>
      <c r="I156" s="116"/>
      <c r="J156" s="116"/>
      <c r="K156" s="118"/>
      <c r="L156" s="116"/>
      <c r="M156" s="116"/>
    </row>
    <row r="157" spans="2:13" ht="63.75" thickBot="1" x14ac:dyDescent="0.3">
      <c r="B157" s="117"/>
      <c r="C157" s="104" t="s">
        <v>19</v>
      </c>
      <c r="D157" s="111" t="s">
        <v>20</v>
      </c>
      <c r="E157" s="211" t="str">
        <f>F19</f>
        <v>LANDET KVANTUM UKE 28</v>
      </c>
      <c r="F157" s="104" t="str">
        <f>G19</f>
        <v>LANDET KVANTUM T.O.M UKE 28</v>
      </c>
      <c r="G157" s="104" t="str">
        <f>I19</f>
        <v>RESTKVOTER</v>
      </c>
      <c r="H157" s="104" t="str">
        <f>J19</f>
        <v>LANDET KVANTUM T.O.M. UKE 28 2019</v>
      </c>
      <c r="I157" s="116"/>
      <c r="J157" s="116"/>
      <c r="K157" s="118"/>
      <c r="L157" s="116"/>
      <c r="M157" s="116"/>
    </row>
    <row r="158" spans="2:13" ht="15" customHeight="1" thickBot="1" x14ac:dyDescent="0.3">
      <c r="B158" s="117"/>
      <c r="C158" s="109" t="s">
        <v>5</v>
      </c>
      <c r="D158" s="181">
        <v>36085</v>
      </c>
      <c r="E158" s="351">
        <v>2069.1370000000002</v>
      </c>
      <c r="F158" s="354">
        <v>22354.708869999999</v>
      </c>
      <c r="G158" s="354">
        <f>D158-F158</f>
        <v>13730.291130000001</v>
      </c>
      <c r="H158" s="354">
        <v>15785.43967</v>
      </c>
      <c r="I158" s="116"/>
      <c r="J158" s="116"/>
      <c r="K158" s="118"/>
      <c r="L158" s="116"/>
      <c r="M158" s="116"/>
    </row>
    <row r="159" spans="2:13" ht="15" customHeight="1" thickBot="1" x14ac:dyDescent="0.3">
      <c r="B159" s="117"/>
      <c r="C159" s="112" t="s">
        <v>41</v>
      </c>
      <c r="D159" s="181">
        <v>100</v>
      </c>
      <c r="E159" s="351">
        <v>1.0032000000000001</v>
      </c>
      <c r="F159" s="354">
        <v>7.91221</v>
      </c>
      <c r="G159" s="354">
        <f>D159-F159</f>
        <v>92.087789999999998</v>
      </c>
      <c r="H159" s="354">
        <v>29.083369999999999</v>
      </c>
      <c r="I159" s="116"/>
      <c r="J159" s="116"/>
      <c r="K159" s="118"/>
      <c r="L159" s="116"/>
      <c r="M159" s="116"/>
    </row>
    <row r="160" spans="2:13" ht="15" customHeight="1" thickBot="1" x14ac:dyDescent="0.3">
      <c r="B160" s="117"/>
      <c r="C160" s="107" t="s">
        <v>36</v>
      </c>
      <c r="D160" s="182">
        <v>34</v>
      </c>
      <c r="E160" s="352"/>
      <c r="F160" s="355"/>
      <c r="G160" s="355">
        <f>D160-F160</f>
        <v>34</v>
      </c>
      <c r="H160" s="355"/>
      <c r="I160" s="116"/>
      <c r="J160" s="116"/>
      <c r="K160" s="118"/>
      <c r="L160" s="116"/>
      <c r="M160" s="116"/>
    </row>
    <row r="161" spans="1:13" ht="15" customHeight="1" thickBot="1" x14ac:dyDescent="0.3">
      <c r="A161" s="116"/>
      <c r="B161" s="117"/>
      <c r="C161" s="110" t="s">
        <v>52</v>
      </c>
      <c r="D161" s="183">
        <f>SUM(D158:D160)</f>
        <v>36219</v>
      </c>
      <c r="E161" s="353">
        <f>SUM(E158:E160)</f>
        <v>2070.1402000000003</v>
      </c>
      <c r="F161" s="356">
        <f>SUM(F158:F160)</f>
        <v>22362.621079999997</v>
      </c>
      <c r="G161" s="356">
        <f>D161-F161</f>
        <v>13856.378920000003</v>
      </c>
      <c r="H161" s="356">
        <f>SUM(H158:H160)</f>
        <v>15814.52304</v>
      </c>
      <c r="I161" s="116"/>
      <c r="J161" s="116"/>
      <c r="K161" s="118"/>
      <c r="L161" s="116"/>
      <c r="M161" s="116"/>
    </row>
    <row r="162" spans="1:13" ht="21" customHeight="1" thickBot="1" x14ac:dyDescent="0.3">
      <c r="B162" s="151"/>
      <c r="C162" s="132" t="s">
        <v>64</v>
      </c>
      <c r="D162" s="152"/>
      <c r="E162" s="152"/>
      <c r="F162" s="199"/>
      <c r="G162" s="199"/>
      <c r="H162" s="199"/>
      <c r="I162" s="199"/>
      <c r="J162" s="152"/>
      <c r="K162" s="153"/>
      <c r="L162" s="116"/>
    </row>
    <row r="163" spans="1:13" s="40" customFormat="1" ht="30" customHeight="1" thickTop="1" thickBot="1" x14ac:dyDescent="0.35">
      <c r="A163" s="78"/>
      <c r="B163" s="48"/>
      <c r="C163" s="205" t="s">
        <v>43</v>
      </c>
      <c r="D163" s="48"/>
      <c r="E163" s="48"/>
      <c r="F163" s="48"/>
      <c r="G163" s="48"/>
      <c r="H163" s="48"/>
      <c r="I163" s="80"/>
      <c r="J163" s="80"/>
      <c r="K163" s="48"/>
      <c r="L163" s="80"/>
      <c r="M163" s="80"/>
    </row>
    <row r="164" spans="1:13" ht="17.100000000000001" customHeight="1" thickTop="1" x14ac:dyDescent="0.25">
      <c r="B164" s="403" t="s">
        <v>1</v>
      </c>
      <c r="C164" s="404"/>
      <c r="D164" s="404"/>
      <c r="E164" s="404"/>
      <c r="F164" s="404"/>
      <c r="G164" s="404"/>
      <c r="H164" s="404"/>
      <c r="I164" s="404"/>
      <c r="J164" s="404"/>
      <c r="K164" s="405"/>
      <c r="L164" s="187"/>
      <c r="M164" s="187"/>
    </row>
    <row r="165" spans="1:13" ht="6" customHeight="1" thickBot="1" x14ac:dyDescent="0.3">
      <c r="B165" s="49"/>
      <c r="C165" s="41"/>
      <c r="D165" s="41"/>
      <c r="E165" s="41"/>
      <c r="F165" s="41"/>
      <c r="G165" s="41"/>
      <c r="H165" s="41"/>
      <c r="I165" s="79"/>
      <c r="J165" s="79"/>
      <c r="K165" s="42"/>
      <c r="L165" s="79"/>
      <c r="M165" s="79"/>
    </row>
    <row r="166" spans="1:13" s="3" customFormat="1" ht="18" customHeight="1" thickBot="1" x14ac:dyDescent="0.3">
      <c r="B166" s="29"/>
      <c r="C166" s="406" t="s">
        <v>2</v>
      </c>
      <c r="D166" s="407"/>
      <c r="E166" s="406" t="s">
        <v>53</v>
      </c>
      <c r="F166" s="407"/>
      <c r="G166" s="406" t="s">
        <v>54</v>
      </c>
      <c r="H166" s="407"/>
      <c r="I166" s="82"/>
      <c r="J166" s="82"/>
      <c r="K166" s="30"/>
      <c r="L166" s="141"/>
      <c r="M166" s="141"/>
    </row>
    <row r="167" spans="1:13" ht="14.25" customHeight="1" x14ac:dyDescent="0.25">
      <c r="B167" s="49"/>
      <c r="C167" s="255" t="s">
        <v>55</v>
      </c>
      <c r="D167" s="265">
        <v>40823</v>
      </c>
      <c r="E167" s="266" t="s">
        <v>5</v>
      </c>
      <c r="F167" s="267">
        <v>27313</v>
      </c>
      <c r="G167" s="258" t="s">
        <v>12</v>
      </c>
      <c r="H167" s="99">
        <v>16288</v>
      </c>
      <c r="I167" s="82"/>
      <c r="J167" s="82"/>
      <c r="K167" s="31"/>
      <c r="L167" s="149"/>
      <c r="M167" s="149"/>
    </row>
    <row r="168" spans="1:13" ht="14.25" customHeight="1" x14ac:dyDescent="0.25">
      <c r="B168" s="49"/>
      <c r="C168" s="258" t="s">
        <v>44</v>
      </c>
      <c r="D168" s="268">
        <v>38310</v>
      </c>
      <c r="E168" s="269" t="s">
        <v>45</v>
      </c>
      <c r="F168" s="270">
        <v>8000</v>
      </c>
      <c r="G168" s="258" t="s">
        <v>11</v>
      </c>
      <c r="H168" s="99">
        <v>4239</v>
      </c>
      <c r="I168" s="82"/>
      <c r="J168" s="82"/>
      <c r="K168" s="31"/>
      <c r="L168" s="149"/>
      <c r="M168" s="149"/>
    </row>
    <row r="169" spans="1:13" ht="14.25" customHeight="1" x14ac:dyDescent="0.25">
      <c r="B169" s="49"/>
      <c r="C169" s="258"/>
      <c r="D169" s="268"/>
      <c r="E169" s="269" t="s">
        <v>38</v>
      </c>
      <c r="F169" s="270">
        <v>5500</v>
      </c>
      <c r="G169" s="258" t="s">
        <v>46</v>
      </c>
      <c r="H169" s="99">
        <v>5224</v>
      </c>
      <c r="I169" s="82"/>
      <c r="J169" s="82"/>
      <c r="K169" s="51"/>
      <c r="L169" s="188"/>
      <c r="M169" s="188"/>
    </row>
    <row r="170" spans="1:13" ht="14.1" customHeight="1" thickBot="1" x14ac:dyDescent="0.3">
      <c r="B170" s="49"/>
      <c r="C170" s="258"/>
      <c r="D170" s="268"/>
      <c r="E170" s="269"/>
      <c r="F170" s="270"/>
      <c r="G170" s="258" t="s">
        <v>47</v>
      </c>
      <c r="H170" s="99">
        <v>1561</v>
      </c>
      <c r="I170" s="82"/>
      <c r="J170" s="82"/>
      <c r="K170" s="51"/>
      <c r="L170" s="188"/>
      <c r="M170" s="188"/>
    </row>
    <row r="171" spans="1:13" ht="14.1" customHeight="1" thickBot="1" x14ac:dyDescent="0.3">
      <c r="B171" s="49"/>
      <c r="C171" s="52" t="s">
        <v>31</v>
      </c>
      <c r="D171" s="271">
        <f>SUM(D167:D170)</f>
        <v>79133</v>
      </c>
      <c r="E171" s="272" t="s">
        <v>57</v>
      </c>
      <c r="F171" s="271">
        <f>F167+F168+F169</f>
        <v>40813</v>
      </c>
      <c r="G171" s="52" t="s">
        <v>5</v>
      </c>
      <c r="H171" s="100">
        <f>SUM(H167:H170)</f>
        <v>27312</v>
      </c>
      <c r="I171" s="82"/>
      <c r="J171" s="82"/>
      <c r="K171" s="51"/>
      <c r="L171" s="188"/>
      <c r="M171" s="188"/>
    </row>
    <row r="172" spans="1:13" ht="12.95" customHeight="1" x14ac:dyDescent="0.25">
      <c r="B172" s="49"/>
      <c r="C172" s="240" t="s">
        <v>92</v>
      </c>
      <c r="D172" s="269"/>
      <c r="E172" s="269"/>
      <c r="F172" s="269"/>
      <c r="G172" s="83"/>
      <c r="H172" s="50"/>
      <c r="I172" s="82"/>
      <c r="J172" s="82"/>
      <c r="K172" s="51"/>
      <c r="L172" s="188"/>
      <c r="M172" s="188"/>
    </row>
    <row r="173" spans="1:13" s="6" customFormat="1" ht="12.95" customHeight="1" x14ac:dyDescent="0.25">
      <c r="B173" s="49"/>
      <c r="C173" s="273" t="s">
        <v>96</v>
      </c>
      <c r="D173" s="83"/>
      <c r="E173" s="83"/>
      <c r="F173" s="83"/>
      <c r="G173" s="83"/>
      <c r="H173" s="41"/>
      <c r="I173" s="79"/>
      <c r="J173" s="79"/>
      <c r="K173" s="42"/>
      <c r="L173" s="79"/>
      <c r="M173" s="79"/>
    </row>
    <row r="174" spans="1:13" s="6" customFormat="1" ht="8.25" customHeight="1" thickBot="1" x14ac:dyDescent="0.3">
      <c r="B174" s="49"/>
      <c r="C174" s="53"/>
      <c r="D174" s="41"/>
      <c r="E174" s="41"/>
      <c r="F174" s="41"/>
      <c r="G174" s="41"/>
      <c r="H174" s="41"/>
      <c r="I174" s="79"/>
      <c r="J174" s="79"/>
      <c r="K174" s="42"/>
      <c r="L174" s="79"/>
      <c r="M174" s="79"/>
    </row>
    <row r="175" spans="1:13" ht="18" customHeight="1" x14ac:dyDescent="0.25">
      <c r="B175" s="408" t="s">
        <v>8</v>
      </c>
      <c r="C175" s="409"/>
      <c r="D175" s="409"/>
      <c r="E175" s="409"/>
      <c r="F175" s="409"/>
      <c r="G175" s="409"/>
      <c r="H175" s="409"/>
      <c r="I175" s="409"/>
      <c r="J175" s="409"/>
      <c r="K175" s="410"/>
      <c r="L175" s="187"/>
      <c r="M175" s="187"/>
    </row>
    <row r="176" spans="1:13" ht="4.5" customHeight="1" thickBot="1" x14ac:dyDescent="0.3">
      <c r="B176" s="54"/>
      <c r="C176" s="55"/>
      <c r="D176" s="55"/>
      <c r="E176" s="55"/>
      <c r="F176" s="55"/>
      <c r="G176" s="55"/>
      <c r="H176" s="55"/>
      <c r="I176" s="85"/>
      <c r="J176" s="85"/>
      <c r="K176" s="56"/>
      <c r="L176" s="85"/>
      <c r="M176" s="85"/>
    </row>
    <row r="177" spans="1:13" ht="48" thickBot="1" x14ac:dyDescent="0.3">
      <c r="A177" s="3"/>
      <c r="B177" s="29"/>
      <c r="C177" s="104" t="s">
        <v>19</v>
      </c>
      <c r="D177" s="176" t="s">
        <v>70</v>
      </c>
      <c r="E177" s="176" t="s">
        <v>100</v>
      </c>
      <c r="F177" s="104" t="str">
        <f>F19</f>
        <v>LANDET KVANTUM UKE 28</v>
      </c>
      <c r="G177" s="104" t="str">
        <f>G19</f>
        <v>LANDET KVANTUM T.O.M UKE 28</v>
      </c>
      <c r="H177" s="104" t="str">
        <f>I19</f>
        <v>RESTKVOTER</v>
      </c>
      <c r="I177" s="104" t="str">
        <f>J19</f>
        <v>LANDET KVANTUM T.O.M. UKE 28 2019</v>
      </c>
      <c r="J177" s="141"/>
      <c r="K177" s="30"/>
      <c r="L177" s="141"/>
      <c r="M177" s="141"/>
    </row>
    <row r="178" spans="1:13" ht="14.1" customHeight="1" x14ac:dyDescent="0.25">
      <c r="B178" s="49"/>
      <c r="C178" s="105" t="s">
        <v>16</v>
      </c>
      <c r="D178" s="215">
        <f t="shared" ref="D178" si="10">D179+D180+D181+D182</f>
        <v>27212</v>
      </c>
      <c r="E178" s="215">
        <f t="shared" ref="E178:H178" si="11">E179+E180+E181+E182</f>
        <v>30289</v>
      </c>
      <c r="F178" s="357">
        <f>F179+F180+F181+F182</f>
        <v>1612.3136799999997</v>
      </c>
      <c r="G178" s="357">
        <f t="shared" si="11"/>
        <v>10140.379799999999</v>
      </c>
      <c r="H178" s="357">
        <f t="shared" si="11"/>
        <v>20148.620200000001</v>
      </c>
      <c r="I178" s="357">
        <f>I179+I180+I181+I182</f>
        <v>20059.318439999999</v>
      </c>
      <c r="J178" s="79"/>
      <c r="K178" s="57"/>
      <c r="L178" s="189"/>
      <c r="M178" s="189"/>
    </row>
    <row r="179" spans="1:13" ht="14.1" customHeight="1" x14ac:dyDescent="0.25">
      <c r="B179" s="49"/>
      <c r="C179" s="280" t="s">
        <v>72</v>
      </c>
      <c r="D179" s="274">
        <v>16288</v>
      </c>
      <c r="E179" s="274">
        <v>18521</v>
      </c>
      <c r="F179" s="358">
        <v>1362.0089399999999</v>
      </c>
      <c r="G179" s="358">
        <v>6524.1898799999999</v>
      </c>
      <c r="H179" s="358">
        <f t="shared" ref="H179:H184" si="12">E179-G179</f>
        <v>11996.81012</v>
      </c>
      <c r="I179" s="358">
        <v>15068.633449999999</v>
      </c>
      <c r="J179" s="79"/>
      <c r="K179" s="57"/>
      <c r="L179" s="189"/>
      <c r="M179" s="189"/>
    </row>
    <row r="180" spans="1:13" ht="14.1" customHeight="1" x14ac:dyDescent="0.25">
      <c r="B180" s="49"/>
      <c r="C180" s="106" t="s">
        <v>11</v>
      </c>
      <c r="D180" s="274">
        <v>4239</v>
      </c>
      <c r="E180" s="274">
        <v>4820</v>
      </c>
      <c r="F180" s="358">
        <v>73.29768</v>
      </c>
      <c r="G180" s="358">
        <v>1003.5556800000001</v>
      </c>
      <c r="H180" s="358">
        <f t="shared" si="12"/>
        <v>3816.4443200000001</v>
      </c>
      <c r="I180" s="358">
        <v>1379.42543</v>
      </c>
      <c r="J180" s="79"/>
      <c r="K180" s="57"/>
      <c r="L180" s="189"/>
      <c r="M180" s="189"/>
    </row>
    <row r="181" spans="1:13" ht="14.1" customHeight="1" x14ac:dyDescent="0.25">
      <c r="B181" s="49"/>
      <c r="C181" s="106" t="s">
        <v>47</v>
      </c>
      <c r="D181" s="274">
        <v>1561</v>
      </c>
      <c r="E181" s="274">
        <v>1617</v>
      </c>
      <c r="F181" s="358">
        <v>17.170660000000002</v>
      </c>
      <c r="G181" s="358">
        <v>1728.28124</v>
      </c>
      <c r="H181" s="358">
        <f t="shared" si="12"/>
        <v>-111.28124000000003</v>
      </c>
      <c r="I181" s="358">
        <v>2078.2367599999998</v>
      </c>
      <c r="J181" s="79"/>
      <c r="K181" s="57"/>
      <c r="L181" s="189"/>
      <c r="M181" s="189"/>
    </row>
    <row r="182" spans="1:13" ht="14.1" customHeight="1" thickBot="1" x14ac:dyDescent="0.3">
      <c r="B182" s="49"/>
      <c r="C182" s="307" t="s">
        <v>105</v>
      </c>
      <c r="D182" s="308">
        <v>5124</v>
      </c>
      <c r="E182" s="308">
        <v>5331</v>
      </c>
      <c r="F182" s="359">
        <v>159.8364</v>
      </c>
      <c r="G182" s="359">
        <v>884.35299999999995</v>
      </c>
      <c r="H182" s="359">
        <f t="shared" si="12"/>
        <v>4446.6469999999999</v>
      </c>
      <c r="I182" s="359">
        <v>1533.0228</v>
      </c>
      <c r="J182" s="79"/>
      <c r="K182" s="57"/>
      <c r="L182" s="189"/>
      <c r="M182" s="189"/>
    </row>
    <row r="183" spans="1:13" ht="14.1" customHeight="1" thickBot="1" x14ac:dyDescent="0.3">
      <c r="B183" s="49"/>
      <c r="C183" s="109" t="s">
        <v>38</v>
      </c>
      <c r="D183" s="275">
        <v>5500</v>
      </c>
      <c r="E183" s="275">
        <v>5500</v>
      </c>
      <c r="F183" s="360">
        <v>73.056060000000002</v>
      </c>
      <c r="G183" s="360">
        <v>3878.8302800000001</v>
      </c>
      <c r="H183" s="360">
        <f t="shared" si="12"/>
        <v>1621.1697199999999</v>
      </c>
      <c r="I183" s="360">
        <v>4741.5092400000003</v>
      </c>
      <c r="J183" s="79"/>
      <c r="K183" s="57"/>
      <c r="L183" s="189"/>
      <c r="M183" s="189"/>
    </row>
    <row r="184" spans="1:13" ht="14.1" customHeight="1" x14ac:dyDescent="0.25">
      <c r="B184" s="49"/>
      <c r="C184" s="105" t="s">
        <v>17</v>
      </c>
      <c r="D184" s="215">
        <v>8000</v>
      </c>
      <c r="E184" s="215">
        <v>8000</v>
      </c>
      <c r="F184" s="357">
        <f>F185+F186</f>
        <v>53.228700000000003</v>
      </c>
      <c r="G184" s="357">
        <f>G185+G186</f>
        <v>2244.0053499999999</v>
      </c>
      <c r="H184" s="357">
        <f t="shared" si="12"/>
        <v>5755.9946500000005</v>
      </c>
      <c r="I184" s="357">
        <f>I185+I186</f>
        <v>1587.1206999999999</v>
      </c>
      <c r="J184" s="79"/>
      <c r="K184" s="57"/>
      <c r="L184" s="189"/>
      <c r="M184" s="189"/>
    </row>
    <row r="185" spans="1:13" ht="14.1" customHeight="1" x14ac:dyDescent="0.25">
      <c r="B185" s="49"/>
      <c r="C185" s="106" t="s">
        <v>29</v>
      </c>
      <c r="D185" s="274"/>
      <c r="E185" s="274"/>
      <c r="F185" s="358"/>
      <c r="G185" s="358">
        <v>298.24680999999998</v>
      </c>
      <c r="H185" s="358"/>
      <c r="I185" s="358">
        <v>210.73102</v>
      </c>
      <c r="J185" s="79"/>
      <c r="K185" s="57"/>
      <c r="L185" s="189"/>
      <c r="M185" s="189"/>
    </row>
    <row r="186" spans="1:13" ht="14.1" customHeight="1" thickBot="1" x14ac:dyDescent="0.3">
      <c r="B186" s="49"/>
      <c r="C186" s="108" t="s">
        <v>48</v>
      </c>
      <c r="D186" s="217"/>
      <c r="E186" s="217"/>
      <c r="F186" s="361">
        <v>53.228700000000003</v>
      </c>
      <c r="G186" s="361">
        <v>1945.75854</v>
      </c>
      <c r="H186" s="361"/>
      <c r="I186" s="361">
        <v>1376.38968</v>
      </c>
      <c r="J186" s="82"/>
      <c r="K186" s="57"/>
      <c r="L186" s="189"/>
      <c r="M186" s="189"/>
    </row>
    <row r="187" spans="1:13" ht="14.1" customHeight="1" thickBot="1" x14ac:dyDescent="0.3">
      <c r="B187" s="49"/>
      <c r="C187" s="109" t="s">
        <v>13</v>
      </c>
      <c r="D187" s="275">
        <v>10</v>
      </c>
      <c r="E187" s="275">
        <v>10</v>
      </c>
      <c r="F187" s="360"/>
      <c r="G187" s="360">
        <v>0.59865000000000002</v>
      </c>
      <c r="H187" s="360">
        <f>E187-G187</f>
        <v>9.4013500000000008</v>
      </c>
      <c r="I187" s="360">
        <v>0.36840000000000001</v>
      </c>
      <c r="J187" s="79"/>
      <c r="K187" s="57"/>
      <c r="L187" s="189"/>
      <c r="M187" s="189"/>
    </row>
    <row r="188" spans="1:13" ht="14.1" customHeight="1" thickBot="1" x14ac:dyDescent="0.3">
      <c r="B188" s="49"/>
      <c r="C188" s="107" t="s">
        <v>49</v>
      </c>
      <c r="D188" s="216"/>
      <c r="E188" s="216"/>
      <c r="F188" s="362">
        <v>0.41698000000000002</v>
      </c>
      <c r="G188" s="362">
        <v>42.747010000000003</v>
      </c>
      <c r="H188" s="362">
        <f>E188-G188</f>
        <v>-42.747010000000003</v>
      </c>
      <c r="I188" s="362">
        <v>29.443300000000001</v>
      </c>
      <c r="J188" s="79"/>
      <c r="K188" s="57"/>
      <c r="L188" s="189"/>
      <c r="M188" s="189"/>
    </row>
    <row r="189" spans="1:13" ht="16.5" thickBot="1" x14ac:dyDescent="0.3">
      <c r="A189" s="3"/>
      <c r="B189" s="29"/>
      <c r="C189" s="110" t="s">
        <v>9</v>
      </c>
      <c r="D189" s="184">
        <f>D178+D183+D184+D187</f>
        <v>40722</v>
      </c>
      <c r="E189" s="184">
        <f>E178+E183+E184+E187</f>
        <v>43799</v>
      </c>
      <c r="F189" s="210">
        <f>F178+F183+F184+F187+F188</f>
        <v>1739.0154199999997</v>
      </c>
      <c r="G189" s="210">
        <f>G178+G183+G184+G187+G188</f>
        <v>16306.561089999997</v>
      </c>
      <c r="H189" s="210">
        <f>H178+H183+H184+H187+H188</f>
        <v>27492.438910000004</v>
      </c>
      <c r="I189" s="396">
        <f>I178+I183+I184+I187+I188</f>
        <v>26417.760079999996</v>
      </c>
      <c r="J189" s="175"/>
      <c r="K189" s="57"/>
      <c r="L189" s="189"/>
      <c r="M189" s="189"/>
    </row>
    <row r="190" spans="1:13" ht="14.1" customHeight="1" x14ac:dyDescent="0.25">
      <c r="A190" s="3"/>
      <c r="B190" s="29"/>
      <c r="C190" s="302" t="s">
        <v>73</v>
      </c>
      <c r="D190" s="66"/>
      <c r="E190" s="66"/>
      <c r="F190" s="66"/>
      <c r="G190" s="66"/>
      <c r="H190" s="301"/>
      <c r="I190" s="301"/>
      <c r="J190" s="141"/>
      <c r="K190" s="30"/>
      <c r="L190" s="141"/>
      <c r="M190" s="141"/>
    </row>
    <row r="191" spans="1:13" ht="14.1" customHeight="1" x14ac:dyDescent="0.25">
      <c r="A191" s="3"/>
      <c r="B191" s="140"/>
      <c r="C191" s="273" t="s">
        <v>104</v>
      </c>
      <c r="D191" s="66"/>
      <c r="E191" s="66"/>
      <c r="F191" s="66"/>
      <c r="G191" s="66"/>
      <c r="H191" s="301"/>
      <c r="I191" s="301"/>
      <c r="J191" s="141"/>
      <c r="K191" s="142"/>
      <c r="L191" s="141"/>
      <c r="M191" s="141"/>
    </row>
    <row r="192" spans="1:13" ht="15.75" thickBot="1" x14ac:dyDescent="0.3">
      <c r="B192" s="58"/>
      <c r="C192" s="320" t="s">
        <v>106</v>
      </c>
      <c r="D192" s="67"/>
      <c r="E192" s="67"/>
      <c r="F192" s="67"/>
      <c r="G192" s="67"/>
      <c r="H192" s="59"/>
      <c r="I192" s="59"/>
      <c r="J192" s="59"/>
      <c r="K192" s="60"/>
      <c r="L192" s="79"/>
      <c r="M192" s="79"/>
    </row>
    <row r="193" spans="1:13" ht="14.1" customHeight="1" thickTop="1" x14ac:dyDescent="0.25"/>
    <row r="194" spans="1:13" s="40" customFormat="1" ht="17.100000000000001" customHeight="1" thickBot="1" x14ac:dyDescent="0.3">
      <c r="A194" s="78"/>
      <c r="B194" s="80"/>
      <c r="C194" s="91" t="s">
        <v>50</v>
      </c>
      <c r="D194" s="80"/>
      <c r="E194" s="80"/>
      <c r="F194" s="80"/>
      <c r="G194" s="80"/>
      <c r="H194" s="80"/>
      <c r="I194" s="80"/>
      <c r="J194" s="80"/>
      <c r="K194" s="78"/>
      <c r="L194" s="78"/>
      <c r="M194" s="78"/>
    </row>
    <row r="195" spans="1:13" ht="17.100000000000001" customHeight="1" thickTop="1" x14ac:dyDescent="0.25">
      <c r="B195" s="403" t="s">
        <v>1</v>
      </c>
      <c r="C195" s="404"/>
      <c r="D195" s="404"/>
      <c r="E195" s="404"/>
      <c r="F195" s="404"/>
      <c r="G195" s="404"/>
      <c r="H195" s="404"/>
      <c r="I195" s="404"/>
      <c r="J195" s="404"/>
      <c r="K195" s="405"/>
      <c r="L195" s="187"/>
      <c r="M195" s="187"/>
    </row>
    <row r="196" spans="1:13" ht="6" customHeight="1" thickBot="1" x14ac:dyDescent="0.3">
      <c r="B196" s="81"/>
      <c r="C196" s="79"/>
      <c r="D196" s="79"/>
      <c r="E196" s="79"/>
      <c r="F196" s="79"/>
      <c r="G196" s="79"/>
      <c r="H196" s="79"/>
      <c r="I196" s="79"/>
      <c r="J196" s="79"/>
      <c r="K196" s="70"/>
      <c r="L196" s="116"/>
      <c r="M196" s="116"/>
    </row>
    <row r="197" spans="1:13" s="3" customFormat="1" ht="14.1" customHeight="1" thickBot="1" x14ac:dyDescent="0.3">
      <c r="B197" s="71"/>
      <c r="C197" s="406" t="s">
        <v>2</v>
      </c>
      <c r="D197" s="407"/>
      <c r="E197"/>
      <c r="F197"/>
      <c r="G197" s="72"/>
      <c r="H197" s="72"/>
      <c r="I197" s="72"/>
      <c r="J197" s="141"/>
      <c r="K197" s="68"/>
      <c r="L197" s="4"/>
      <c r="M197" s="4"/>
    </row>
    <row r="198" spans="1:13" ht="16.5" customHeight="1" x14ac:dyDescent="0.25">
      <c r="B198" s="73"/>
      <c r="C198" s="255" t="s">
        <v>71</v>
      </c>
      <c r="D198" s="256">
        <v>2120</v>
      </c>
      <c r="E198" s="276"/>
      <c r="F198" s="226"/>
      <c r="G198" s="74"/>
      <c r="H198" s="74"/>
      <c r="I198" s="74"/>
      <c r="J198" s="158"/>
      <c r="K198" s="70"/>
      <c r="L198" s="116"/>
      <c r="M198" s="116"/>
    </row>
    <row r="199" spans="1:13" ht="14.1" customHeight="1" x14ac:dyDescent="0.25">
      <c r="B199" s="73"/>
      <c r="C199" s="258" t="s">
        <v>44</v>
      </c>
      <c r="D199" s="259">
        <v>12216</v>
      </c>
      <c r="E199" s="276"/>
      <c r="F199" s="226"/>
      <c r="G199" s="74"/>
      <c r="H199" s="74"/>
      <c r="I199" s="74"/>
      <c r="J199" s="158"/>
      <c r="K199" s="70"/>
      <c r="L199" s="116"/>
      <c r="M199" s="116"/>
    </row>
    <row r="200" spans="1:13" ht="14.1" customHeight="1" thickBot="1" x14ac:dyDescent="0.3">
      <c r="B200" s="73"/>
      <c r="C200" s="260" t="s">
        <v>28</v>
      </c>
      <c r="D200" s="259">
        <v>382</v>
      </c>
      <c r="E200" s="276"/>
      <c r="F200" s="226"/>
      <c r="G200" s="87"/>
      <c r="H200" s="74"/>
      <c r="I200" s="74"/>
      <c r="J200" s="158"/>
      <c r="K200" s="70"/>
      <c r="L200" s="116"/>
      <c r="M200" s="116"/>
    </row>
    <row r="201" spans="1:13" ht="14.1" customHeight="1" thickBot="1" x14ac:dyDescent="0.3">
      <c r="B201" s="73"/>
      <c r="C201" s="261" t="s">
        <v>31</v>
      </c>
      <c r="D201" s="262">
        <f>SUM(D198:D200)</f>
        <v>14718</v>
      </c>
      <c r="E201" s="276"/>
      <c r="F201"/>
      <c r="G201" s="87"/>
      <c r="H201" s="74"/>
      <c r="I201" s="74"/>
      <c r="J201" s="158"/>
      <c r="K201" s="70"/>
      <c r="L201" s="116"/>
      <c r="M201" s="116"/>
    </row>
    <row r="202" spans="1:13" ht="13.5" customHeight="1" x14ac:dyDescent="0.25">
      <c r="B202" s="81"/>
      <c r="C202" s="277" t="s">
        <v>95</v>
      </c>
      <c r="D202" s="269"/>
      <c r="E202" s="269"/>
      <c r="F202" s="82"/>
      <c r="G202" s="83"/>
      <c r="H202" s="79"/>
      <c r="I202" s="79"/>
      <c r="J202" s="79"/>
      <c r="K202" s="70"/>
      <c r="L202" s="116"/>
      <c r="M202" s="116"/>
    </row>
    <row r="203" spans="1:13" ht="14.25" customHeight="1" x14ac:dyDescent="0.25">
      <c r="B203" s="81"/>
      <c r="C203" s="273" t="s">
        <v>124</v>
      </c>
      <c r="D203" s="83"/>
      <c r="E203" s="83"/>
      <c r="F203" s="79"/>
      <c r="G203" s="79"/>
      <c r="H203" s="79"/>
      <c r="I203" s="79"/>
      <c r="J203" s="79"/>
      <c r="K203" s="70"/>
      <c r="L203" s="116"/>
      <c r="M203" s="116"/>
    </row>
    <row r="204" spans="1:13" ht="14.1" customHeight="1" thickBot="1" x14ac:dyDescent="0.3">
      <c r="B204" s="81"/>
      <c r="D204" s="83"/>
      <c r="E204" s="83"/>
      <c r="F204" s="79"/>
      <c r="G204" s="79"/>
      <c r="H204" s="79"/>
      <c r="I204" s="79"/>
      <c r="J204" s="79"/>
      <c r="K204" s="70"/>
      <c r="L204" s="116"/>
      <c r="M204" s="116"/>
    </row>
    <row r="205" spans="1:13" ht="17.100000000000001" customHeight="1" x14ac:dyDescent="0.25">
      <c r="B205" s="408" t="s">
        <v>8</v>
      </c>
      <c r="C205" s="409"/>
      <c r="D205" s="409"/>
      <c r="E205" s="409"/>
      <c r="F205" s="409"/>
      <c r="G205" s="409"/>
      <c r="H205" s="409"/>
      <c r="I205" s="409"/>
      <c r="J205" s="409"/>
      <c r="K205" s="410"/>
      <c r="L205" s="187"/>
      <c r="M205" s="187"/>
    </row>
    <row r="206" spans="1:13" ht="6" customHeight="1" thickBot="1" x14ac:dyDescent="0.3">
      <c r="B206" s="84"/>
      <c r="C206" s="85"/>
      <c r="D206" s="85"/>
      <c r="E206" s="85"/>
      <c r="F206" s="85"/>
      <c r="G206" s="85"/>
      <c r="H206" s="85"/>
      <c r="I206" s="85"/>
      <c r="J206" s="85"/>
      <c r="K206" s="86"/>
      <c r="L206" s="85"/>
      <c r="M206" s="85"/>
    </row>
    <row r="207" spans="1:13" ht="62.25" customHeight="1" thickBot="1" x14ac:dyDescent="0.3">
      <c r="B207" s="81"/>
      <c r="C207" s="104" t="s">
        <v>19</v>
      </c>
      <c r="D207" s="111" t="s">
        <v>20</v>
      </c>
      <c r="E207" s="104" t="str">
        <f>F19</f>
        <v>LANDET KVANTUM UKE 28</v>
      </c>
      <c r="F207" s="104" t="str">
        <f>G19</f>
        <v>LANDET KVANTUM T.O.M UKE 28</v>
      </c>
      <c r="G207" s="104" t="str">
        <f>I19</f>
        <v>RESTKVOTER</v>
      </c>
      <c r="H207" s="104" t="str">
        <f>J19</f>
        <v>LANDET KVANTUM T.O.M. UKE 28 2019</v>
      </c>
      <c r="I207" s="79"/>
      <c r="J207" s="79"/>
      <c r="K207" s="70"/>
      <c r="L207" s="116"/>
      <c r="M207" s="116"/>
    </row>
    <row r="208" spans="1:13" s="95" customFormat="1" ht="14.1" customHeight="1" thickBot="1" x14ac:dyDescent="0.3">
      <c r="B208" s="92"/>
      <c r="C208" s="109" t="s">
        <v>51</v>
      </c>
      <c r="D208" s="181">
        <f>D198-D209-D210</f>
        <v>700</v>
      </c>
      <c r="E208" s="354">
        <v>46.519930000000002</v>
      </c>
      <c r="F208" s="354">
        <v>301.42836</v>
      </c>
      <c r="G208" s="354">
        <f>D208-F208</f>
        <v>398.57164</v>
      </c>
      <c r="H208" s="354">
        <v>492.36041</v>
      </c>
      <c r="I208" s="93"/>
      <c r="J208" s="160"/>
      <c r="K208" s="94"/>
      <c r="L208" s="98"/>
      <c r="M208" s="98"/>
    </row>
    <row r="209" spans="2:13" ht="14.1" customHeight="1" thickBot="1" x14ac:dyDescent="0.3">
      <c r="B209" s="81"/>
      <c r="C209" s="112" t="s">
        <v>45</v>
      </c>
      <c r="D209" s="181">
        <v>1370</v>
      </c>
      <c r="E209" s="354">
        <v>9.0312400000000004</v>
      </c>
      <c r="F209" s="354">
        <v>1036.18091</v>
      </c>
      <c r="G209" s="354">
        <f t="shared" ref="G209:G211" si="13">D209-F209</f>
        <v>333.81908999999996</v>
      </c>
      <c r="H209" s="354">
        <v>1826.52001</v>
      </c>
      <c r="I209" s="103"/>
      <c r="J209" s="103"/>
      <c r="K209" s="70"/>
      <c r="L209" s="116"/>
      <c r="M209" s="116"/>
    </row>
    <row r="210" spans="2:13" s="95" customFormat="1" ht="14.1" customHeight="1" thickBot="1" x14ac:dyDescent="0.3">
      <c r="B210" s="92"/>
      <c r="C210" s="107" t="s">
        <v>36</v>
      </c>
      <c r="D210" s="182">
        <v>50</v>
      </c>
      <c r="E210" s="354"/>
      <c r="F210" s="354">
        <v>1.2104200000000001</v>
      </c>
      <c r="G210" s="354">
        <f t="shared" si="13"/>
        <v>48.789580000000001</v>
      </c>
      <c r="H210" s="354">
        <v>2.1101399999999999</v>
      </c>
      <c r="I210" s="93"/>
      <c r="J210" s="160"/>
      <c r="K210" s="94"/>
      <c r="L210" s="98"/>
      <c r="M210" s="98"/>
    </row>
    <row r="211" spans="2:13" s="95" customFormat="1" ht="14.1" customHeight="1" thickBot="1" x14ac:dyDescent="0.3">
      <c r="B211" s="88"/>
      <c r="C211" s="107" t="s">
        <v>56</v>
      </c>
      <c r="D211" s="182"/>
      <c r="E211" s="354"/>
      <c r="F211" s="354">
        <v>2.0574300000000001</v>
      </c>
      <c r="G211" s="354">
        <f t="shared" si="13"/>
        <v>-2.0574300000000001</v>
      </c>
      <c r="H211" s="354">
        <v>3.4605700000000001</v>
      </c>
      <c r="I211" s="89"/>
      <c r="J211" s="89"/>
      <c r="K211" s="90"/>
      <c r="L211" s="190"/>
      <c r="M211" s="190"/>
    </row>
    <row r="212" spans="2:13" ht="16.5" thickBot="1" x14ac:dyDescent="0.3">
      <c r="B212" s="81"/>
      <c r="C212" s="110" t="s">
        <v>52</v>
      </c>
      <c r="D212" s="183">
        <f>D198</f>
        <v>2120</v>
      </c>
      <c r="E212" s="356">
        <f>SUM(E208:E211)</f>
        <v>55.551169999999999</v>
      </c>
      <c r="F212" s="356">
        <f>SUM(F208:F211)</f>
        <v>1340.8771200000001</v>
      </c>
      <c r="G212" s="356">
        <f>D212-F212</f>
        <v>779.1228799999999</v>
      </c>
      <c r="H212" s="356">
        <f>H208+H209+H210+H211</f>
        <v>2324.4511299999999</v>
      </c>
      <c r="I212" s="79"/>
      <c r="J212" s="79"/>
      <c r="K212" s="70"/>
      <c r="L212" s="116"/>
      <c r="M212" s="116"/>
    </row>
    <row r="213" spans="2:13" s="69" customFormat="1" ht="9" customHeight="1" x14ac:dyDescent="0.25">
      <c r="B213" s="81"/>
      <c r="C213" s="65"/>
      <c r="D213" s="96"/>
      <c r="E213" s="96"/>
      <c r="F213" s="96"/>
      <c r="G213" s="96"/>
      <c r="H213" s="79"/>
      <c r="I213" s="79"/>
      <c r="J213" s="79"/>
      <c r="K213" s="70"/>
      <c r="L213" s="116"/>
      <c r="M213" s="116"/>
    </row>
    <row r="214" spans="2:13" ht="14.1" customHeight="1" thickBot="1" x14ac:dyDescent="0.3">
      <c r="B214" s="75"/>
      <c r="C214" s="76"/>
      <c r="D214" s="76"/>
      <c r="E214" s="76"/>
      <c r="F214" s="76"/>
      <c r="G214" s="102"/>
      <c r="H214" s="76"/>
      <c r="I214" s="76"/>
      <c r="J214" s="152"/>
      <c r="K214" s="77"/>
      <c r="L214" s="116"/>
      <c r="M214" s="116"/>
    </row>
    <row r="215" spans="2:13" ht="14.1" customHeight="1" thickTop="1" x14ac:dyDescent="0.25">
      <c r="B215" s="116"/>
      <c r="C215" s="116"/>
      <c r="D215" s="116"/>
      <c r="E215" s="116"/>
      <c r="F215" s="116"/>
      <c r="G215" s="154"/>
      <c r="H215" s="116"/>
      <c r="I215" s="116"/>
      <c r="J215" s="116"/>
      <c r="K215" s="116"/>
      <c r="L215" s="116"/>
      <c r="M215" s="116"/>
    </row>
    <row r="216" spans="2:13" ht="14.1" customHeight="1" x14ac:dyDescent="0.25">
      <c r="B216" s="116"/>
      <c r="C216" s="116"/>
      <c r="D216" s="116"/>
      <c r="E216" s="116"/>
      <c r="F216" s="116"/>
      <c r="G216" s="154"/>
      <c r="H216" s="116"/>
      <c r="I216" s="116"/>
      <c r="J216" s="116"/>
      <c r="K216" s="116"/>
      <c r="L216" s="116"/>
      <c r="M216" s="116"/>
    </row>
    <row r="217" spans="2:13" ht="14.1" customHeight="1" x14ac:dyDescent="0.25">
      <c r="B217" s="116"/>
      <c r="C217" s="116"/>
      <c r="D217" s="116"/>
      <c r="E217" s="116"/>
      <c r="F217" s="116"/>
      <c r="G217" s="154"/>
      <c r="H217" s="116"/>
      <c r="I217" s="116"/>
      <c r="J217" s="116"/>
      <c r="K217" s="116"/>
      <c r="L217" s="116"/>
      <c r="M217" s="116"/>
    </row>
    <row r="218" spans="2:13" ht="14.1" customHeight="1" x14ac:dyDescent="0.25">
      <c r="B218" s="116"/>
      <c r="C218" s="116"/>
      <c r="D218" s="116"/>
      <c r="E218" s="116"/>
      <c r="F218" s="116"/>
      <c r="G218" s="154"/>
      <c r="H218" s="116"/>
      <c r="I218" s="116"/>
      <c r="J218" s="116"/>
      <c r="K218" s="116"/>
      <c r="L218" s="116"/>
      <c r="M218" s="116"/>
    </row>
    <row r="219" spans="2:13" ht="14.1" customHeight="1" x14ac:dyDescent="0.25">
      <c r="B219" s="116"/>
      <c r="C219" s="116"/>
      <c r="D219" s="116"/>
      <c r="E219" s="116"/>
      <c r="F219" s="116"/>
      <c r="G219" s="154"/>
      <c r="H219" s="116"/>
      <c r="I219" s="116"/>
      <c r="J219" s="116"/>
      <c r="K219" s="116"/>
      <c r="L219" s="116"/>
      <c r="M219" s="116"/>
    </row>
    <row r="220" spans="2:13" ht="14.1" customHeight="1" x14ac:dyDescent="0.25">
      <c r="B220" s="116"/>
      <c r="C220" s="116"/>
      <c r="D220" s="116"/>
      <c r="E220" s="116"/>
      <c r="F220" s="116"/>
      <c r="G220" s="154"/>
      <c r="H220" s="116"/>
      <c r="I220" s="116"/>
      <c r="J220" s="116"/>
      <c r="K220" s="116"/>
      <c r="L220" s="116"/>
      <c r="M220" s="116"/>
    </row>
    <row r="221" spans="2:13" ht="14.1" customHeight="1" x14ac:dyDescent="0.25">
      <c r="B221" s="116"/>
      <c r="C221" s="116"/>
      <c r="D221" s="116"/>
      <c r="E221" s="116"/>
      <c r="F221" s="116"/>
      <c r="G221" s="154"/>
      <c r="H221" s="116"/>
      <c r="I221" s="116"/>
      <c r="J221" s="116"/>
      <c r="K221" s="116"/>
      <c r="L221" s="116"/>
      <c r="M221" s="116"/>
    </row>
    <row r="222" spans="2:13" s="78" customFormat="1" ht="17.100000000000001" customHeight="1" thickBot="1" x14ac:dyDescent="0.3">
      <c r="B222" s="80"/>
      <c r="C222" s="91" t="s">
        <v>86</v>
      </c>
      <c r="D222" s="80"/>
      <c r="E222" s="80"/>
      <c r="F222" s="80"/>
      <c r="G222" s="80"/>
      <c r="H222" s="80"/>
      <c r="I222" s="80"/>
      <c r="J222" s="80"/>
    </row>
    <row r="223" spans="2:13" ht="17.100000000000001" customHeight="1" thickTop="1" x14ac:dyDescent="0.25">
      <c r="B223" s="403" t="s">
        <v>1</v>
      </c>
      <c r="C223" s="404"/>
      <c r="D223" s="404"/>
      <c r="E223" s="404"/>
      <c r="F223" s="404"/>
      <c r="G223" s="404"/>
      <c r="H223" s="404"/>
      <c r="I223" s="404"/>
      <c r="J223" s="404"/>
      <c r="K223" s="405"/>
      <c r="L223" s="187"/>
      <c r="M223" s="187"/>
    </row>
    <row r="224" spans="2:13" ht="6" customHeight="1" thickBot="1" x14ac:dyDescent="0.3">
      <c r="B224" s="81"/>
      <c r="C224" s="79"/>
      <c r="D224" s="79"/>
      <c r="E224" s="79"/>
      <c r="F224" s="79"/>
      <c r="G224" s="79"/>
      <c r="H224" s="79"/>
      <c r="I224" s="79"/>
      <c r="J224" s="79"/>
      <c r="K224" s="118"/>
      <c r="L224" s="116"/>
      <c r="M224" s="116"/>
    </row>
    <row r="225" spans="2:13" s="3" customFormat="1" ht="14.1" customHeight="1" thickBot="1" x14ac:dyDescent="0.3">
      <c r="B225" s="140"/>
      <c r="C225" s="406" t="s">
        <v>2</v>
      </c>
      <c r="D225" s="407"/>
      <c r="E225"/>
      <c r="F225"/>
      <c r="G225" s="141"/>
      <c r="H225" s="141"/>
      <c r="I225" s="141"/>
      <c r="J225" s="141"/>
      <c r="K225" s="114"/>
      <c r="L225" s="4"/>
      <c r="M225" s="4"/>
    </row>
    <row r="226" spans="2:13" ht="16.5" customHeight="1" x14ac:dyDescent="0.25">
      <c r="B226" s="143"/>
      <c r="C226" s="255" t="s">
        <v>71</v>
      </c>
      <c r="D226" s="256">
        <v>5148</v>
      </c>
      <c r="E226" s="276"/>
      <c r="F226" s="226"/>
      <c r="G226" s="158"/>
      <c r="H226" s="158"/>
      <c r="I226" s="158"/>
      <c r="J226" s="158"/>
      <c r="K226" s="118"/>
      <c r="L226" s="116"/>
      <c r="M226" s="116"/>
    </row>
    <row r="227" spans="2:13" ht="16.5" customHeight="1" x14ac:dyDescent="0.25">
      <c r="B227" s="143"/>
      <c r="C227" s="258" t="s">
        <v>44</v>
      </c>
      <c r="D227" s="259">
        <v>3465</v>
      </c>
      <c r="E227" s="276"/>
      <c r="F227" s="226"/>
      <c r="G227" s="103"/>
      <c r="H227" s="158"/>
      <c r="I227" s="158"/>
      <c r="J227" s="158"/>
      <c r="K227" s="118"/>
      <c r="L227" s="116"/>
      <c r="M227" s="116"/>
    </row>
    <row r="228" spans="2:13" ht="14.1" customHeight="1" thickBot="1" x14ac:dyDescent="0.3">
      <c r="B228" s="143"/>
      <c r="C228" s="258" t="s">
        <v>28</v>
      </c>
      <c r="D228" s="259">
        <v>123</v>
      </c>
      <c r="E228" s="276"/>
      <c r="F228" s="226"/>
      <c r="G228" s="103"/>
      <c r="H228" s="158"/>
      <c r="I228" s="158"/>
      <c r="J228" s="158"/>
      <c r="K228" s="118"/>
      <c r="L228" s="116"/>
      <c r="M228" s="116"/>
    </row>
    <row r="229" spans="2:13" ht="14.1" customHeight="1" thickBot="1" x14ac:dyDescent="0.3">
      <c r="B229" s="143"/>
      <c r="C229" s="261" t="s">
        <v>31</v>
      </c>
      <c r="D229" s="262">
        <f>SUM(D226:D228)</f>
        <v>8736</v>
      </c>
      <c r="E229" s="276"/>
      <c r="F229"/>
      <c r="G229" s="87"/>
      <c r="H229" s="158"/>
      <c r="I229" s="158"/>
      <c r="J229" s="158"/>
      <c r="K229" s="118"/>
      <c r="L229" s="116"/>
      <c r="M229" s="116"/>
    </row>
    <row r="230" spans="2:13" ht="13.5" customHeight="1" thickBot="1" x14ac:dyDescent="0.3">
      <c r="B230" s="81"/>
      <c r="C230" s="277" t="s">
        <v>107</v>
      </c>
      <c r="D230" s="269"/>
      <c r="E230" s="269"/>
      <c r="F230" s="82"/>
      <c r="G230" s="83"/>
      <c r="H230" s="79"/>
      <c r="I230" s="79"/>
      <c r="J230" s="79"/>
      <c r="K230" s="118"/>
      <c r="L230" s="116"/>
      <c r="M230" s="116"/>
    </row>
    <row r="231" spans="2:13" ht="6" customHeight="1" thickBot="1" x14ac:dyDescent="0.3">
      <c r="B231" s="81"/>
      <c r="C231" s="319"/>
      <c r="D231" s="83"/>
      <c r="E231" s="83"/>
      <c r="F231" s="79"/>
      <c r="G231" s="79"/>
      <c r="H231" s="79"/>
      <c r="I231" s="79"/>
      <c r="J231" s="79"/>
      <c r="K231" s="118"/>
      <c r="L231" s="116"/>
      <c r="M231" s="116"/>
    </row>
    <row r="232" spans="2:13" ht="17.100000000000001" customHeight="1" x14ac:dyDescent="0.25">
      <c r="B232" s="408" t="s">
        <v>8</v>
      </c>
      <c r="C232" s="409"/>
      <c r="D232" s="409"/>
      <c r="E232" s="409"/>
      <c r="F232" s="409"/>
      <c r="G232" s="409"/>
      <c r="H232" s="409"/>
      <c r="I232" s="409"/>
      <c r="J232" s="409"/>
      <c r="K232" s="410"/>
      <c r="L232" s="187"/>
      <c r="M232" s="187"/>
    </row>
    <row r="233" spans="2:13" ht="6" customHeight="1" thickBot="1" x14ac:dyDescent="0.3">
      <c r="B233" s="84"/>
      <c r="C233" s="85"/>
      <c r="D233" s="85"/>
      <c r="E233" s="85"/>
      <c r="F233" s="85"/>
      <c r="G233" s="85"/>
      <c r="H233" s="85"/>
      <c r="I233" s="85"/>
      <c r="J233" s="85"/>
      <c r="K233" s="86"/>
      <c r="L233" s="85"/>
      <c r="M233" s="85"/>
    </row>
    <row r="234" spans="2:13" ht="62.25" customHeight="1" thickBot="1" x14ac:dyDescent="0.3">
      <c r="B234" s="81"/>
      <c r="C234" s="314" t="s">
        <v>87</v>
      </c>
      <c r="D234" s="315" t="s">
        <v>88</v>
      </c>
      <c r="E234" s="314" t="str">
        <f>E207</f>
        <v>LANDET KVANTUM UKE 28</v>
      </c>
      <c r="F234" s="314" t="str">
        <f>F207</f>
        <v>LANDET KVANTUM T.O.M UKE 28</v>
      </c>
      <c r="G234" s="363" t="s">
        <v>62</v>
      </c>
      <c r="H234" s="314" t="str">
        <f>H207</f>
        <v>LANDET KVANTUM T.O.M. UKE 28 2019</v>
      </c>
      <c r="J234" s="79"/>
      <c r="K234" s="118"/>
      <c r="L234" s="116"/>
      <c r="M234" s="116"/>
    </row>
    <row r="235" spans="2:13" s="95" customFormat="1" ht="14.1" customHeight="1" thickBot="1" x14ac:dyDescent="0.3">
      <c r="B235" s="159"/>
      <c r="C235" s="109" t="s">
        <v>89</v>
      </c>
      <c r="D235" s="400">
        <v>1900</v>
      </c>
      <c r="E235" s="366">
        <f>SUM(E236:E237)</f>
        <v>0</v>
      </c>
      <c r="F235" s="366">
        <f>SUM(F236:F237)</f>
        <v>1914.28793</v>
      </c>
      <c r="G235" s="397">
        <f>D235-F235</f>
        <v>-14.28792999999996</v>
      </c>
      <c r="H235" s="366">
        <f>SUM(H236:H237)</f>
        <v>1595.15535</v>
      </c>
      <c r="J235" s="160"/>
      <c r="K235" s="94"/>
      <c r="L235" s="98"/>
      <c r="M235" s="98"/>
    </row>
    <row r="236" spans="2:13" s="95" customFormat="1" ht="14.1" customHeight="1" thickBot="1" x14ac:dyDescent="0.3">
      <c r="B236" s="159"/>
      <c r="C236" s="316" t="s">
        <v>78</v>
      </c>
      <c r="D236" s="401"/>
      <c r="E236" s="367"/>
      <c r="F236" s="367">
        <v>1555.61869</v>
      </c>
      <c r="G236" s="398"/>
      <c r="H236" s="367">
        <v>1221.97955</v>
      </c>
      <c r="J236" s="160"/>
      <c r="K236" s="94"/>
      <c r="L236" s="98"/>
      <c r="M236" s="98"/>
    </row>
    <row r="237" spans="2:13" s="95" customFormat="1" ht="14.1" customHeight="1" thickBot="1" x14ac:dyDescent="0.3">
      <c r="B237" s="159"/>
      <c r="C237" s="316" t="s">
        <v>79</v>
      </c>
      <c r="D237" s="402"/>
      <c r="E237" s="368"/>
      <c r="F237" s="368">
        <v>358.66924</v>
      </c>
      <c r="G237" s="399"/>
      <c r="H237" s="368">
        <v>373.17579999999998</v>
      </c>
      <c r="J237" s="160"/>
      <c r="K237" s="94"/>
      <c r="L237" s="98"/>
      <c r="M237" s="98"/>
    </row>
    <row r="238" spans="2:13" s="95" customFormat="1" ht="14.1" customHeight="1" thickBot="1" x14ac:dyDescent="0.3">
      <c r="B238" s="159"/>
      <c r="C238" s="109" t="s">
        <v>90</v>
      </c>
      <c r="D238" s="400">
        <v>1624</v>
      </c>
      <c r="E238" s="366">
        <f>SUM(E239:E240)</f>
        <v>73.050399999999996</v>
      </c>
      <c r="F238" s="366">
        <f>SUM(F239:F240)</f>
        <v>902.55204000000003</v>
      </c>
      <c r="G238" s="397">
        <f>D238-F238</f>
        <v>721.44795999999997</v>
      </c>
      <c r="H238" s="366">
        <f>SUM(H239:H240)</f>
        <v>635.04372000000001</v>
      </c>
      <c r="J238" s="160"/>
      <c r="K238" s="94"/>
      <c r="L238" s="98"/>
      <c r="M238" s="98"/>
    </row>
    <row r="239" spans="2:13" s="95" customFormat="1" ht="14.1" customHeight="1" thickBot="1" x14ac:dyDescent="0.3">
      <c r="B239" s="159"/>
      <c r="C239" s="316" t="s">
        <v>78</v>
      </c>
      <c r="D239" s="401"/>
      <c r="E239" s="367">
        <v>57.877899999999997</v>
      </c>
      <c r="F239" s="367">
        <v>713.35274000000004</v>
      </c>
      <c r="G239" s="398"/>
      <c r="H239" s="367">
        <v>467.78942000000001</v>
      </c>
      <c r="J239" s="160"/>
      <c r="K239" s="94"/>
      <c r="L239" s="98"/>
      <c r="M239" s="98"/>
    </row>
    <row r="240" spans="2:13" s="95" customFormat="1" ht="14.1" customHeight="1" thickBot="1" x14ac:dyDescent="0.3">
      <c r="B240" s="159"/>
      <c r="C240" s="316" t="s">
        <v>79</v>
      </c>
      <c r="D240" s="402"/>
      <c r="E240" s="368">
        <v>15.172499999999999</v>
      </c>
      <c r="F240" s="368">
        <v>189.19929999999999</v>
      </c>
      <c r="G240" s="399"/>
      <c r="H240" s="368">
        <v>167.2543</v>
      </c>
      <c r="J240" s="160"/>
      <c r="K240" s="94"/>
      <c r="L240" s="98"/>
      <c r="M240" s="98"/>
    </row>
    <row r="241" spans="2:13" s="95" customFormat="1" ht="14.1" customHeight="1" thickBot="1" x14ac:dyDescent="0.3">
      <c r="B241" s="159"/>
      <c r="C241" s="109" t="s">
        <v>91</v>
      </c>
      <c r="D241" s="400">
        <v>1624</v>
      </c>
      <c r="E241" s="366">
        <f>SUM(E242:E243)</f>
        <v>0</v>
      </c>
      <c r="F241" s="366">
        <f>SUM(F242:F243)</f>
        <v>0</v>
      </c>
      <c r="G241" s="397">
        <f>D241-F241</f>
        <v>1624</v>
      </c>
      <c r="H241" s="366">
        <f>SUM(H242:H243)</f>
        <v>0</v>
      </c>
      <c r="J241" s="160"/>
      <c r="K241" s="94"/>
      <c r="L241" s="98"/>
      <c r="M241" s="98"/>
    </row>
    <row r="242" spans="2:13" s="95" customFormat="1" ht="14.1" customHeight="1" thickBot="1" x14ac:dyDescent="0.3">
      <c r="B242" s="159"/>
      <c r="C242" s="316" t="s">
        <v>78</v>
      </c>
      <c r="D242" s="401"/>
      <c r="E242" s="367"/>
      <c r="F242" s="367"/>
      <c r="G242" s="398"/>
      <c r="H242" s="367"/>
      <c r="J242" s="160"/>
      <c r="K242" s="94"/>
      <c r="L242" s="98"/>
      <c r="M242" s="98"/>
    </row>
    <row r="243" spans="2:13" s="95" customFormat="1" ht="14.1" customHeight="1" thickBot="1" x14ac:dyDescent="0.3">
      <c r="B243" s="159"/>
      <c r="C243" s="316" t="s">
        <v>79</v>
      </c>
      <c r="D243" s="402"/>
      <c r="E243" s="368"/>
      <c r="F243" s="368"/>
      <c r="G243" s="399"/>
      <c r="H243" s="368"/>
      <c r="J243" s="160"/>
      <c r="K243" s="94"/>
      <c r="L243" s="98"/>
      <c r="M243" s="98"/>
    </row>
    <row r="244" spans="2:13" s="95" customFormat="1" ht="14.1" customHeight="1" thickBot="1" x14ac:dyDescent="0.3">
      <c r="B244" s="88"/>
      <c r="C244" s="107" t="s">
        <v>56</v>
      </c>
      <c r="D244" s="317"/>
      <c r="E244" s="355"/>
      <c r="F244" s="355"/>
      <c r="G244" s="364"/>
      <c r="H244" s="355"/>
      <c r="J244" s="89"/>
      <c r="K244" s="90"/>
      <c r="L244" s="190"/>
      <c r="M244" s="190"/>
    </row>
    <row r="245" spans="2:13" ht="16.5" thickBot="1" x14ac:dyDescent="0.3">
      <c r="B245" s="81"/>
      <c r="C245" s="110" t="s">
        <v>52</v>
      </c>
      <c r="D245" s="318">
        <f>SUM(D235:D244)</f>
        <v>5148</v>
      </c>
      <c r="E245" s="356">
        <f>E235+E238+E241+E244</f>
        <v>73.050399999999996</v>
      </c>
      <c r="F245" s="356">
        <f>F235+F238+F241+F244</f>
        <v>2816.83997</v>
      </c>
      <c r="G245" s="365">
        <f>SUM(G235:G244)</f>
        <v>2331.16003</v>
      </c>
      <c r="H245" s="356">
        <f>H235+H238+H241+H244</f>
        <v>2230.1990700000001</v>
      </c>
      <c r="J245" s="79"/>
      <c r="K245" s="118"/>
      <c r="L245" s="116"/>
      <c r="M245" s="116"/>
    </row>
    <row r="246" spans="2:13" s="69" customFormat="1" ht="9" customHeight="1" x14ac:dyDescent="0.25">
      <c r="B246" s="81"/>
      <c r="C246" s="65"/>
      <c r="D246" s="96"/>
      <c r="E246" s="96"/>
      <c r="F246" s="96"/>
      <c r="G246" s="96"/>
      <c r="H246" s="79"/>
      <c r="I246" s="79"/>
      <c r="J246" s="79"/>
      <c r="K246" s="118"/>
      <c r="L246" s="116"/>
      <c r="M246" s="116"/>
    </row>
    <row r="247" spans="2:13" ht="14.1" customHeight="1" thickBot="1" x14ac:dyDescent="0.3">
      <c r="B247" s="151"/>
      <c r="C247" s="152"/>
      <c r="D247" s="152"/>
      <c r="E247" s="152"/>
      <c r="F247" s="152"/>
      <c r="G247" s="102"/>
      <c r="H247" s="102"/>
      <c r="I247" s="152"/>
      <c r="J247" s="152"/>
      <c r="K247" s="153"/>
      <c r="L247" s="116"/>
      <c r="M247" s="116"/>
    </row>
    <row r="248" spans="2:13" ht="20.25" customHeight="1" thickTop="1" x14ac:dyDescent="0.25">
      <c r="B248" s="69"/>
      <c r="C248" s="69"/>
      <c r="D248" s="69"/>
      <c r="E248" s="69"/>
      <c r="F248" s="69"/>
      <c r="G248" s="69"/>
      <c r="H248" s="69"/>
      <c r="K248" s="69"/>
    </row>
    <row r="249" spans="2:13" ht="20.25" customHeight="1" x14ac:dyDescent="0.25"/>
    <row r="250" spans="2:13" ht="14.1" hidden="1" customHeight="1" x14ac:dyDescent="0.25"/>
    <row r="251" spans="2:13" ht="14.1" hidden="1" customHeight="1" x14ac:dyDescent="0.25"/>
    <row r="252" spans="2:13" ht="14.1" hidden="1" customHeight="1" x14ac:dyDescent="0.25">
      <c r="G252" s="64"/>
    </row>
    <row r="253" spans="2:13" ht="14.1" hidden="1" customHeight="1" x14ac:dyDescent="0.25">
      <c r="F253" s="64"/>
    </row>
    <row r="254" spans="2:13" ht="14.1" hidden="1" customHeight="1" x14ac:dyDescent="0.25"/>
    <row r="255" spans="2:13" ht="14.1" hidden="1" customHeight="1" x14ac:dyDescent="0.25"/>
    <row r="256" spans="2:13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4.1" hidden="1" customHeight="1" x14ac:dyDescent="0.25"/>
    <row r="356" ht="14.1" hidden="1" customHeight="1" x14ac:dyDescent="0.25"/>
    <row r="357" ht="15" hidden="1" customHeight="1" x14ac:dyDescent="0.25"/>
    <row r="358" ht="15" hidden="1" customHeight="1" x14ac:dyDescent="0.25"/>
    <row r="359" ht="15" hidden="1" customHeight="1" x14ac:dyDescent="0.25"/>
    <row r="360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C148:D148"/>
    <mergeCell ref="B205:K205"/>
    <mergeCell ref="C197:D197"/>
    <mergeCell ref="B195:K195"/>
    <mergeCell ref="C49:D49"/>
    <mergeCell ref="C166:D166"/>
    <mergeCell ref="E166:F166"/>
    <mergeCell ref="G166:H166"/>
    <mergeCell ref="B175:K175"/>
    <mergeCell ref="C108:D108"/>
    <mergeCell ref="E108:F108"/>
    <mergeCell ref="G108:H108"/>
    <mergeCell ref="B116:K116"/>
    <mergeCell ref="B164:K164"/>
    <mergeCell ref="D57:D58"/>
    <mergeCell ref="G57:G58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B2:K2"/>
    <mergeCell ref="B7:K7"/>
    <mergeCell ref="C9:D9"/>
    <mergeCell ref="E9:F9"/>
    <mergeCell ref="G9:H9"/>
    <mergeCell ref="G238:G240"/>
    <mergeCell ref="G241:G243"/>
    <mergeCell ref="D238:D240"/>
    <mergeCell ref="D241:D243"/>
    <mergeCell ref="B223:K223"/>
    <mergeCell ref="C225:D225"/>
    <mergeCell ref="B232:K232"/>
    <mergeCell ref="D235:D237"/>
    <mergeCell ref="G235:G237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28
&amp;"-,Normal"&amp;11(iht. motatte landings- og sluttsedler fra fiskesalgslagene; alle tallstørrelser i hele tonn)&amp;R14.07.2020
</oddHeader>
    <oddFooter>&amp;LFiskeridirektoratet&amp;CReguleringsseksjonen&amp;RGuro Gjelsvik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UKE_28_2020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Guro Gjelsvik</cp:lastModifiedBy>
  <cp:lastPrinted>2020-07-01T06:21:30Z</cp:lastPrinted>
  <dcterms:created xsi:type="dcterms:W3CDTF">2011-07-06T12:13:20Z</dcterms:created>
  <dcterms:modified xsi:type="dcterms:W3CDTF">2020-07-14T08:27:22Z</dcterms:modified>
</cp:coreProperties>
</file>