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4\"/>
    </mc:Choice>
  </mc:AlternateContent>
  <xr:revisionPtr revIDLastSave="0" documentId="13_ncr:1_{26BF7390-FF91-4961-97B9-A986C7981AD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H422" i="1"/>
  <c r="F422" i="1"/>
  <c r="G422" i="1" s="1"/>
  <c r="E422" i="1"/>
  <c r="H421" i="1"/>
  <c r="H419" i="1" s="1"/>
  <c r="F421" i="1"/>
  <c r="E421" i="1"/>
  <c r="H420" i="1"/>
  <c r="F420" i="1"/>
  <c r="E420" i="1"/>
  <c r="G419" i="1"/>
  <c r="F419" i="1"/>
  <c r="E419" i="1"/>
  <c r="H418" i="1"/>
  <c r="F418" i="1"/>
  <c r="E418" i="1"/>
  <c r="H417" i="1"/>
  <c r="F417" i="1"/>
  <c r="F416" i="1" s="1"/>
  <c r="G416" i="1" s="1"/>
  <c r="E417" i="1"/>
  <c r="E416" i="1" s="1"/>
  <c r="H416" i="1"/>
  <c r="H415" i="1"/>
  <c r="F415" i="1"/>
  <c r="E415" i="1"/>
  <c r="H414" i="1"/>
  <c r="H413" i="1" s="1"/>
  <c r="H423" i="1" s="1"/>
  <c r="F414" i="1"/>
  <c r="F413" i="1" s="1"/>
  <c r="E414" i="1"/>
  <c r="E413" i="1" s="1"/>
  <c r="I390" i="1"/>
  <c r="H390" i="1"/>
  <c r="G390" i="1"/>
  <c r="F390" i="1"/>
  <c r="I389" i="1"/>
  <c r="H389" i="1"/>
  <c r="G389" i="1"/>
  <c r="F389" i="1"/>
  <c r="I388" i="1"/>
  <c r="G388" i="1"/>
  <c r="G386" i="1" s="1"/>
  <c r="H386" i="1" s="1"/>
  <c r="F388" i="1"/>
  <c r="I387" i="1"/>
  <c r="G387" i="1"/>
  <c r="F387" i="1"/>
  <c r="F386" i="1" s="1"/>
  <c r="I386" i="1"/>
  <c r="I385" i="1"/>
  <c r="G385" i="1"/>
  <c r="H385" i="1" s="1"/>
  <c r="F385" i="1"/>
  <c r="I384" i="1"/>
  <c r="H384" i="1"/>
  <c r="G384" i="1"/>
  <c r="F384" i="1"/>
  <c r="I383" i="1"/>
  <c r="G383" i="1"/>
  <c r="G380" i="1" s="1"/>
  <c r="G391" i="1" s="1"/>
  <c r="F383" i="1"/>
  <c r="F380" i="1" s="1"/>
  <c r="I382" i="1"/>
  <c r="H382" i="1"/>
  <c r="G382" i="1"/>
  <c r="F382" i="1"/>
  <c r="I381" i="1"/>
  <c r="G381" i="1"/>
  <c r="H381" i="1" s="1"/>
  <c r="F381" i="1"/>
  <c r="I380" i="1"/>
  <c r="I391" i="1" s="1"/>
  <c r="D380" i="1"/>
  <c r="D391" i="1" s="1"/>
  <c r="H372" i="1"/>
  <c r="F372" i="1"/>
  <c r="H354" i="1"/>
  <c r="D354" i="1"/>
  <c r="G354" i="1" s="1"/>
  <c r="H353" i="1"/>
  <c r="F353" i="1"/>
  <c r="G353" i="1" s="1"/>
  <c r="E353" i="1"/>
  <c r="H352" i="1"/>
  <c r="G352" i="1"/>
  <c r="F352" i="1"/>
  <c r="E352" i="1"/>
  <c r="H351" i="1"/>
  <c r="F351" i="1"/>
  <c r="G351" i="1" s="1"/>
  <c r="E351" i="1"/>
  <c r="H350" i="1"/>
  <c r="G350" i="1"/>
  <c r="F350" i="1"/>
  <c r="F354" i="1" s="1"/>
  <c r="E350" i="1"/>
  <c r="E354" i="1" s="1"/>
  <c r="D343" i="1"/>
  <c r="D299" i="1"/>
  <c r="H298" i="1"/>
  <c r="G298" i="1"/>
  <c r="F298" i="1"/>
  <c r="E298" i="1"/>
  <c r="H297" i="1"/>
  <c r="F297" i="1"/>
  <c r="F295" i="1" s="1"/>
  <c r="E297" i="1"/>
  <c r="H296" i="1"/>
  <c r="H295" i="1" s="1"/>
  <c r="H299" i="1" s="1"/>
  <c r="F296" i="1"/>
  <c r="E296" i="1"/>
  <c r="E295" i="1"/>
  <c r="E299" i="1" s="1"/>
  <c r="D253" i="1"/>
  <c r="H252" i="1"/>
  <c r="F252" i="1"/>
  <c r="G252" i="1" s="1"/>
  <c r="E252" i="1"/>
  <c r="H251" i="1"/>
  <c r="F251" i="1"/>
  <c r="E251" i="1"/>
  <c r="H250" i="1"/>
  <c r="F250" i="1"/>
  <c r="F249" i="1" s="1"/>
  <c r="E250" i="1"/>
  <c r="E249" i="1" s="1"/>
  <c r="E253" i="1" s="1"/>
  <c r="H249" i="1"/>
  <c r="H253" i="1" s="1"/>
  <c r="D207" i="1"/>
  <c r="G207" i="1" s="1"/>
  <c r="H206" i="1"/>
  <c r="F206" i="1"/>
  <c r="G206" i="1" s="1"/>
  <c r="E206" i="1"/>
  <c r="H205" i="1"/>
  <c r="F205" i="1"/>
  <c r="F207" i="1" s="1"/>
  <c r="E205" i="1"/>
  <c r="E207" i="1" s="1"/>
  <c r="H204" i="1"/>
  <c r="H207" i="1" s="1"/>
  <c r="F204" i="1"/>
  <c r="G204" i="1" s="1"/>
  <c r="E204" i="1"/>
  <c r="D184" i="1"/>
  <c r="H183" i="1"/>
  <c r="G183" i="1"/>
  <c r="F183" i="1"/>
  <c r="E183" i="1"/>
  <c r="H182" i="1"/>
  <c r="F182" i="1"/>
  <c r="G182" i="1" s="1"/>
  <c r="E182" i="1"/>
  <c r="H181" i="1"/>
  <c r="F181" i="1"/>
  <c r="E181" i="1"/>
  <c r="H180" i="1"/>
  <c r="F180" i="1"/>
  <c r="E180" i="1"/>
  <c r="E178" i="1" s="1"/>
  <c r="E184" i="1" s="1"/>
  <c r="H179" i="1"/>
  <c r="H178" i="1" s="1"/>
  <c r="F179" i="1"/>
  <c r="F178" i="1" s="1"/>
  <c r="G178" i="1" s="1"/>
  <c r="E179" i="1"/>
  <c r="H177" i="1"/>
  <c r="G177" i="1"/>
  <c r="F177" i="1"/>
  <c r="E177" i="1"/>
  <c r="H176" i="1"/>
  <c r="F176" i="1"/>
  <c r="E176" i="1"/>
  <c r="H175" i="1"/>
  <c r="H184" i="1" s="1"/>
  <c r="F175" i="1"/>
  <c r="E175" i="1"/>
  <c r="D167" i="1"/>
  <c r="D169" i="1" s="1"/>
  <c r="I148" i="1"/>
  <c r="H148" i="1"/>
  <c r="G148" i="1"/>
  <c r="F148" i="1"/>
  <c r="I147" i="1"/>
  <c r="G147" i="1"/>
  <c r="H147" i="1" s="1"/>
  <c r="F147" i="1"/>
  <c r="H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I139" i="1" s="1"/>
  <c r="I133" i="1" s="1"/>
  <c r="H140" i="1"/>
  <c r="H139" i="1" s="1"/>
  <c r="G140" i="1"/>
  <c r="G139" i="1" s="1"/>
  <c r="F140" i="1"/>
  <c r="F139" i="1"/>
  <c r="E139" i="1"/>
  <c r="E133" i="1" s="1"/>
  <c r="E150" i="1" s="1"/>
  <c r="D139" i="1"/>
  <c r="I138" i="1"/>
  <c r="H138" i="1"/>
  <c r="F138" i="1"/>
  <c r="I137" i="1"/>
  <c r="H137" i="1"/>
  <c r="F137" i="1"/>
  <c r="I136" i="1"/>
  <c r="H136" i="1"/>
  <c r="F136" i="1"/>
  <c r="I135" i="1"/>
  <c r="G134" i="1"/>
  <c r="G133" i="1" s="1"/>
  <c r="F135" i="1"/>
  <c r="F134" i="1" s="1"/>
  <c r="F133" i="1" s="1"/>
  <c r="I134" i="1"/>
  <c r="E134" i="1"/>
  <c r="D134" i="1"/>
  <c r="D133" i="1" s="1"/>
  <c r="I132" i="1"/>
  <c r="F132" i="1"/>
  <c r="I131" i="1"/>
  <c r="G131" i="1"/>
  <c r="H131" i="1" s="1"/>
  <c r="F131" i="1"/>
  <c r="I130" i="1"/>
  <c r="G130" i="1"/>
  <c r="G128" i="1" s="1"/>
  <c r="F130" i="1"/>
  <c r="F128" i="1" s="1"/>
  <c r="F150" i="1" s="1"/>
  <c r="I129" i="1"/>
  <c r="I128" i="1" s="1"/>
  <c r="G129" i="1"/>
  <c r="H129" i="1" s="1"/>
  <c r="F129" i="1"/>
  <c r="E128" i="1"/>
  <c r="D128" i="1"/>
  <c r="C126" i="1"/>
  <c r="I106" i="1"/>
  <c r="H106" i="1"/>
  <c r="G106" i="1"/>
  <c r="F106" i="1"/>
  <c r="I105" i="1"/>
  <c r="G105" i="1"/>
  <c r="H105" i="1" s="1"/>
  <c r="F105" i="1"/>
  <c r="I104" i="1"/>
  <c r="H104" i="1"/>
  <c r="G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H98" i="1"/>
  <c r="G98" i="1"/>
  <c r="F98" i="1"/>
  <c r="I97" i="1"/>
  <c r="I96" i="1" s="1"/>
  <c r="I95" i="1" s="1"/>
  <c r="G97" i="1"/>
  <c r="H97" i="1" s="1"/>
  <c r="F97" i="1"/>
  <c r="F96" i="1" s="1"/>
  <c r="F95" i="1" s="1"/>
  <c r="F107" i="1" s="1"/>
  <c r="E96" i="1"/>
  <c r="E95" i="1" s="1"/>
  <c r="E107" i="1" s="1"/>
  <c r="D96" i="1"/>
  <c r="D95" i="1" s="1"/>
  <c r="I94" i="1"/>
  <c r="G94" i="1"/>
  <c r="G92" i="1" s="1"/>
  <c r="F94" i="1"/>
  <c r="I93" i="1"/>
  <c r="H93" i="1"/>
  <c r="G93" i="1"/>
  <c r="F93" i="1"/>
  <c r="I92" i="1"/>
  <c r="F92" i="1"/>
  <c r="E92" i="1"/>
  <c r="D92" i="1"/>
  <c r="D107" i="1" s="1"/>
  <c r="C89" i="1"/>
  <c r="H85" i="1"/>
  <c r="F85" i="1"/>
  <c r="D85" i="1"/>
  <c r="G61" i="1"/>
  <c r="G60" i="1"/>
  <c r="H55" i="1"/>
  <c r="I32" i="1" s="1"/>
  <c r="F55" i="1"/>
  <c r="G55" i="1" s="1"/>
  <c r="E55" i="1"/>
  <c r="F32" i="1" s="1"/>
  <c r="I43" i="1"/>
  <c r="G43" i="1"/>
  <c r="H43" i="1" s="1"/>
  <c r="F43" i="1"/>
  <c r="H42" i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F34" i="1" s="1"/>
  <c r="I35" i="1"/>
  <c r="G35" i="1"/>
  <c r="G34" i="1" s="1"/>
  <c r="H34" i="1" s="1"/>
  <c r="F35" i="1"/>
  <c r="E35" i="1"/>
  <c r="D34" i="1"/>
  <c r="I33" i="1"/>
  <c r="G33" i="1"/>
  <c r="H33" i="1" s="1"/>
  <c r="F33" i="1"/>
  <c r="I31" i="1"/>
  <c r="G31" i="1"/>
  <c r="H31" i="1" s="1"/>
  <c r="F31" i="1"/>
  <c r="I30" i="1"/>
  <c r="H30" i="1"/>
  <c r="G30" i="1"/>
  <c r="F30" i="1"/>
  <c r="I29" i="1"/>
  <c r="G29" i="1"/>
  <c r="H29" i="1" s="1"/>
  <c r="F29" i="1"/>
  <c r="I28" i="1"/>
  <c r="G28" i="1"/>
  <c r="H28" i="1" s="1"/>
  <c r="F28" i="1"/>
  <c r="E27" i="1"/>
  <c r="E26" i="1" s="1"/>
  <c r="D27" i="1"/>
  <c r="D26" i="1" s="1"/>
  <c r="I25" i="1"/>
  <c r="H25" i="1"/>
  <c r="G25" i="1"/>
  <c r="F25" i="1"/>
  <c r="I24" i="1"/>
  <c r="G24" i="1"/>
  <c r="G23" i="1" s="1"/>
  <c r="F24" i="1"/>
  <c r="I23" i="1"/>
  <c r="F23" i="1"/>
  <c r="E23" i="1"/>
  <c r="E44" i="1" s="1"/>
  <c r="D23" i="1"/>
  <c r="D44" i="1" s="1"/>
  <c r="H16" i="1"/>
  <c r="F16" i="1"/>
  <c r="D16" i="1"/>
  <c r="G150" i="1" l="1"/>
  <c r="I27" i="1"/>
  <c r="I26" i="1" s="1"/>
  <c r="I44" i="1" s="1"/>
  <c r="I34" i="1"/>
  <c r="F27" i="1"/>
  <c r="G32" i="1"/>
  <c r="H32" i="1" s="1"/>
  <c r="H27" i="1" s="1"/>
  <c r="H26" i="1" s="1"/>
  <c r="H35" i="1"/>
  <c r="I150" i="1"/>
  <c r="H96" i="1"/>
  <c r="H95" i="1" s="1"/>
  <c r="F299" i="1"/>
  <c r="G299" i="1" s="1"/>
  <c r="G295" i="1"/>
  <c r="F423" i="1"/>
  <c r="G413" i="1"/>
  <c r="D150" i="1"/>
  <c r="G249" i="1"/>
  <c r="F253" i="1"/>
  <c r="G253" i="1" s="1"/>
  <c r="F26" i="1"/>
  <c r="F44" i="1" s="1"/>
  <c r="F391" i="1"/>
  <c r="I107" i="1"/>
  <c r="F184" i="1"/>
  <c r="G184" i="1" s="1"/>
  <c r="E423" i="1"/>
  <c r="H130" i="1"/>
  <c r="H128" i="1" s="1"/>
  <c r="H135" i="1"/>
  <c r="H134" i="1" s="1"/>
  <c r="H133" i="1" s="1"/>
  <c r="G205" i="1"/>
  <c r="H383" i="1"/>
  <c r="H380" i="1" s="1"/>
  <c r="H391" i="1" s="1"/>
  <c r="G175" i="1"/>
  <c r="H24" i="1"/>
  <c r="H23" i="1" s="1"/>
  <c r="G96" i="1"/>
  <c r="G95" i="1" s="1"/>
  <c r="G107" i="1" s="1"/>
  <c r="H94" i="1"/>
  <c r="H92" i="1" s="1"/>
  <c r="H107" i="1" s="1"/>
  <c r="H150" i="1" l="1"/>
  <c r="G27" i="1"/>
  <c r="G26" i="1" s="1"/>
  <c r="G44" i="1" s="1"/>
  <c r="H44" i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<sst xmlns="http://schemas.openxmlformats.org/spreadsheetml/2006/main" count="359" uniqueCount="152">
  <si>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</si>
  <si>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</si>
  <si>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</si>
  <si>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</si>
  <si>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</si>
  <si>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</si>
  <si>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</si>
  <si>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</si>
  <si>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</si>
  <si>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</si>
  <si>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</si>
  <si>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</si>
  <si>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</si>
  <si>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</si>
  <si>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</si>
  <si>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</si>
  <si>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</si>
  <si>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</si>
  <si>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</si>
  <si>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</si>
  <si>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</si>
  <si>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</si>
  <si>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</si>
  <si>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</si>
  <si>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</si>
  <si>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</si>
  <si>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</si>
  <si>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</si>
  <si>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</si>
  <si>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</si>
  <si>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</si>
  <si>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</si>
  <si>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</si>
  <si>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</si>
  <si>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</si>
  <si>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</si>
  <si>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</si>
  <si>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</si>
  <si>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</si>
  <si>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</si>
  <si>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</si>
  <si>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</si>
  <si>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</si>
  <si>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</si>
  <si>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</si>
  <si>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</si>
  <si>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</si>
  <si>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</si>
  <si>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</si>
  <si>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</si>
  <si>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</si>
  <si>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</si>
  <si>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</si>
  <si>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</si>
  <si>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</si>
  <si>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</si>
  <si>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</si>
  <si>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</si>
  <si>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</si>
  <si>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</si>
  <si>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</si>
  <si>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</si>
  <si>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</si>
  <si>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</si>
  <si>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</si>
  <si>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</si>
  <si>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</si>
  <si>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</si>
  <si>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</si>
  <si>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</si>
  <si>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</si>
  <si>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</si>
  <si>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</si>
  <si>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</si>
  <si>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</si>
  <si>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</si>
  <si>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</si>
  <si>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</si>
  <si>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</si>
  <si>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</si>
  <si>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</si>
  <si>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</si>
  <si>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</si>
  <si>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</si>
  <si>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</si>
  <si>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</si>
  <si>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</si>
  <si>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</si>
  <si>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</si>
  <si>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</si>
  <si>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</si>
  <si>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</si>
  <si>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</si>
  <si>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</si>
  <si>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</si>
  <si>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</si>
  <si>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</si>
  <si>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</si>
  <si>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</si>
  <si>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</si>
  <si>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</si>
  <si>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</si>
  <si>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</si>
  <si>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</si>
  <si>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</si>
  <si>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</si>
  <si>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</si>
  <si>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</si>
  <si>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</si>
  <si>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</si>
  <si>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</si>
  <si>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</si>
  <si>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</si>
  <si>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</si>
  <si>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</si>
  <si>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</si>
  <si>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</si>
  <si>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</si>
  <si>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</si>
  <si>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</si>
  <si>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</si>
  <si>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</si>
  <si>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</si>
  <si>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</si>
  <si>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</si>
  <si>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</si>
  <si>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</si>
  <si>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</si>
  <si>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</si>
  <si>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</si>
  <si>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</si>
  <si>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</si>
  <si>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</si>
  <si>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</si>
  <si>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</si>
  <si>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</si>
  <si>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</si>
  <si>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</si>
  <si>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</si>
  <si>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</si>
  <si>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</si>
  <si>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</si>
  <si>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</si>
  <si>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</si>
  <si>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t>2 Registrert rekreasjonsfiske utgjør 58 tonn, men det legges til grunn at hele avsetningen tas</t>
  </si>
  <si>
    <t>4 Registrert rekreasjonsfiske utgjør 420 tonn, men det legges til grunn at hele avsetningen tas</t>
  </si>
  <si>
    <t>3 Registrert rekreasjonsfiske utgjør 788 tonn, men det legges til grunn at hele avsetningen tas</t>
  </si>
  <si>
    <t>FANGST UKE 31</t>
  </si>
  <si>
    <t>FANGST T.O.M UKE 31</t>
  </si>
  <si>
    <t>RESTKVOTER UKE 31</t>
  </si>
  <si>
    <t>FANGST T.O.M UKE 31 2023</t>
  </si>
  <si>
    <r>
      <t>3</t>
    </r>
    <r>
      <rPr>
        <sz val="9"/>
        <color indexed="8"/>
        <rFont val="Calibri"/>
        <family val="2"/>
      </rPr>
      <t xml:space="preserve"> Det er fisket 3 474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</si>
</sst>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85" zoomScaleNormal="85" zoomScaleSheetLayoutView="100" zoomScalePageLayoutView="85" workbookViewId="0">
      <selection activeCell="B9" sqref="B9:J9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2" t="s">
        <v>122</v>
      </c>
      <c r="C2" s="303"/>
      <c r="D2" s="303"/>
      <c r="E2" s="303"/>
      <c r="F2" s="303"/>
      <c r="G2" s="303"/>
      <c r="H2" s="303"/>
      <c r="I2" s="303"/>
      <c r="J2" s="30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301" t="s">
        <v>141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147</v>
      </c>
      <c r="G22" s="68" t="s">
        <v>148</v>
      </c>
      <c r="H22" s="68" t="s">
        <v>149</v>
      </c>
      <c r="I22" s="68" t="s">
        <v>150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99.024000000000001</v>
      </c>
      <c r="G23" s="28">
        <f t="shared" si="0"/>
        <v>37963.031940000001</v>
      </c>
      <c r="H23" s="11">
        <f t="shared" si="0"/>
        <v>22848.968059999999</v>
      </c>
      <c r="I23" s="11">
        <f t="shared" si="0"/>
        <v>52242.155380000004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99.024</f>
        <v>99.024000000000001</v>
      </c>
      <c r="G24" s="23">
        <f>37441.06815</f>
        <v>37441.068149999999</v>
      </c>
      <c r="H24" s="23">
        <f>E24-G24</f>
        <v>22600.931850000001</v>
      </c>
      <c r="I24" s="23">
        <f>51901.97703</f>
        <v>51901.977030000002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521.96379</f>
        <v>521.96379000000002</v>
      </c>
      <c r="H25" s="23">
        <f>E25-G25</f>
        <v>248.03620999999998</v>
      </c>
      <c r="I25" s="23">
        <f>340.17835</f>
        <v>340.17835000000002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1102.3304800000001</v>
      </c>
      <c r="G26" s="11">
        <f t="shared" si="1"/>
        <v>120901.44863999999</v>
      </c>
      <c r="H26" s="11">
        <f t="shared" si="1"/>
        <v>23972.551359999998</v>
      </c>
      <c r="I26" s="11">
        <f t="shared" si="1"/>
        <v>170728.26977000001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989.07299</v>
      </c>
      <c r="G27" s="132">
        <f t="shared" ref="G27:I27" si="2">G28+G29+G30+G31+G32</f>
        <v>98632.011459999994</v>
      </c>
      <c r="H27" s="132">
        <f t="shared" si="2"/>
        <v>14345.988539999998</v>
      </c>
      <c r="I27" s="132">
        <f t="shared" si="2"/>
        <v>135551.89152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79.77819</f>
        <v>79.778189999999995</v>
      </c>
      <c r="G28" s="127">
        <f>25956.26924 - F56</f>
        <v>25650.269240000001</v>
      </c>
      <c r="H28" s="127">
        <f t="shared" ref="H28:H40" si="3">E28-G28</f>
        <v>2979.7307599999986</v>
      </c>
      <c r="I28" s="127">
        <f>36633.41153 - H56</f>
        <v>36247.411529999998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162.83241</f>
        <v>162.83241000000001</v>
      </c>
      <c r="G29" s="127">
        <f>27456.45496 - F57</f>
        <v>27037.454959999999</v>
      </c>
      <c r="H29" s="127">
        <f t="shared" si="3"/>
        <v>2627.5450400000009</v>
      </c>
      <c r="I29" s="127">
        <f>37965.63626 - H57</f>
        <v>37207.636259999999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190.40411</f>
        <v>190.40411</v>
      </c>
      <c r="G30" s="127">
        <f>26012.0501 - F58</f>
        <v>25307.0501</v>
      </c>
      <c r="H30" s="127">
        <f t="shared" si="3"/>
        <v>1936.9498999999996</v>
      </c>
      <c r="I30" s="127">
        <f>36411.14995 - H58</f>
        <v>34712.149949999999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102.05828</f>
        <v>102.05828</v>
      </c>
      <c r="G31" s="127">
        <f>19207.23716 - F59</f>
        <v>18665.237160000001</v>
      </c>
      <c r="H31" s="127">
        <f t="shared" si="3"/>
        <v>673.76283999999941</v>
      </c>
      <c r="I31" s="127">
        <f>24541.69378 - H59</f>
        <v>23788.693780000001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454</v>
      </c>
      <c r="G32" s="127">
        <f>F55</f>
        <v>1972</v>
      </c>
      <c r="H32" s="127">
        <f t="shared" si="3"/>
        <v>6128</v>
      </c>
      <c r="I32" s="127">
        <f>H55</f>
        <v>3596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0.06502</f>
        <v>6.5019999999999994E-2</v>
      </c>
      <c r="G33" s="132">
        <f>10493.48767</f>
        <v>10493.48767</v>
      </c>
      <c r="H33" s="132">
        <f t="shared" si="3"/>
        <v>6365.5123299999996</v>
      </c>
      <c r="I33" s="132">
        <f>15144.35038</f>
        <v>15144.35038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113.19247</v>
      </c>
      <c r="G34" s="132">
        <f>G35+G36</f>
        <v>11775.94951</v>
      </c>
      <c r="H34" s="132">
        <f t="shared" si="3"/>
        <v>3261.0504899999996</v>
      </c>
      <c r="I34" s="132">
        <f>I35+I36</f>
        <v>20032.027870000002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79.19247</f>
        <v>79.19247</v>
      </c>
      <c r="G35" s="132">
        <f>14496.94951 - F60 - F61</f>
        <v>11558.94951</v>
      </c>
      <c r="H35" s="127">
        <f t="shared" si="3"/>
        <v>2518.0504899999996</v>
      </c>
      <c r="I35" s="127">
        <f>24313.02787 - H60 - H61</f>
        <v>19724.027870000002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34</v>
      </c>
      <c r="G36" s="71">
        <f>F60</f>
        <v>217</v>
      </c>
      <c r="H36" s="71">
        <f t="shared" si="3"/>
        <v>743</v>
      </c>
      <c r="I36" s="71">
        <f>H60</f>
        <v>308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1.49978</f>
        <v>1.4997799999999999</v>
      </c>
      <c r="G38" s="98">
        <f>469.77895</f>
        <v>469.77895000000001</v>
      </c>
      <c r="H38" s="98">
        <f t="shared" si="3"/>
        <v>385.22104999999999</v>
      </c>
      <c r="I38" s="98">
        <f>486.66974</f>
        <v>486.66973999999999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16</v>
      </c>
      <c r="G39" s="98">
        <f>F61</f>
        <v>2721</v>
      </c>
      <c r="H39" s="98">
        <f t="shared" si="3"/>
        <v>279</v>
      </c>
      <c r="I39" s="98">
        <f>H61</f>
        <v>4281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14.55346</f>
        <v>14.553459999999999</v>
      </c>
      <c r="G40" s="98">
        <f>E40</f>
        <v>7000</v>
      </c>
      <c r="H40" s="98">
        <f t="shared" si="3"/>
        <v>0</v>
      </c>
      <c r="I40" s="98">
        <f>E40</f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0.7455</f>
        <v>0.74550000000000005</v>
      </c>
      <c r="G41" s="98">
        <f>327.06701</f>
        <v>327.06700999999998</v>
      </c>
      <c r="H41" s="98">
        <f>E41-G41</f>
        <v>72.932990000000018</v>
      </c>
      <c r="I41" s="98">
        <f>350.70365</f>
        <v>350.70364999999998</v>
      </c>
      <c r="J41" s="243"/>
    </row>
    <row r="42" spans="1:13" ht="17.25" customHeight="1" x14ac:dyDescent="0.25">
      <c r="A42" s="1"/>
      <c r="B42" s="253"/>
      <c r="C42" s="73" t="s">
        <v>129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1.4242</f>
        <v>1.4241999999999999</v>
      </c>
      <c r="G43" s="139">
        <f>101.59228</f>
        <v>101.59228</v>
      </c>
      <c r="H43" s="139">
        <f t="shared" ref="H43" si="4">E43-G43</f>
        <v>-101.59228</v>
      </c>
      <c r="I43" s="139">
        <f>78.21367</f>
        <v>78.213669999999993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1235.5774200000001</v>
      </c>
      <c r="G44" s="76">
        <f t="shared" si="5"/>
        <v>169832.28401999999</v>
      </c>
      <c r="H44" s="76">
        <f t="shared" si="5"/>
        <v>49208.715980000001</v>
      </c>
      <c r="I44" s="76">
        <f t="shared" si="5"/>
        <v>235913.80381000004</v>
      </c>
      <c r="J44" s="243"/>
    </row>
    <row r="45" spans="1:13" ht="14.1" customHeight="1" x14ac:dyDescent="0.25">
      <c r="A45" s="101"/>
      <c r="B45" s="24"/>
      <c r="C45" s="77" t="s">
        <v>130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146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131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147</v>
      </c>
      <c r="F54" s="68" t="s">
        <v>148</v>
      </c>
      <c r="G54" s="68" t="s">
        <v>149</v>
      </c>
      <c r="H54" s="68" t="s">
        <v>150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295">
        <v>7872</v>
      </c>
      <c r="E55" s="11">
        <f>E59+E58+E57+E56</f>
        <v>454</v>
      </c>
      <c r="F55" s="11">
        <f>F59+F58+F57+F56</f>
        <v>1972</v>
      </c>
      <c r="G55" s="295">
        <f>D55-F55</f>
        <v>5900</v>
      </c>
      <c r="H55" s="11">
        <f>H59+H58+H57+H56</f>
        <v>3596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296"/>
      <c r="E56" s="127">
        <v>58</v>
      </c>
      <c r="F56" s="127">
        <v>306</v>
      </c>
      <c r="G56" s="296"/>
      <c r="H56" s="127">
        <v>386</v>
      </c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296"/>
      <c r="E57" s="127">
        <v>114</v>
      </c>
      <c r="F57" s="127">
        <v>419</v>
      </c>
      <c r="G57" s="296"/>
      <c r="H57" s="127">
        <v>758</v>
      </c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296"/>
      <c r="E58" s="127">
        <v>184</v>
      </c>
      <c r="F58" s="127">
        <v>705</v>
      </c>
      <c r="G58" s="296"/>
      <c r="H58" s="127">
        <v>1699</v>
      </c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297"/>
      <c r="E59" s="192">
        <v>98</v>
      </c>
      <c r="F59" s="192">
        <v>542</v>
      </c>
      <c r="G59" s="297"/>
      <c r="H59" s="192">
        <v>753</v>
      </c>
      <c r="I59" s="257"/>
      <c r="J59" s="243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34</v>
      </c>
      <c r="F60" s="95">
        <v>217</v>
      </c>
      <c r="G60" s="95">
        <f>D60-F60</f>
        <v>743</v>
      </c>
      <c r="H60" s="95">
        <v>308</v>
      </c>
      <c r="I60" s="257"/>
      <c r="J60" s="243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16</v>
      </c>
      <c r="F61" s="139">
        <v>2721</v>
      </c>
      <c r="G61" s="139">
        <f>D61-F61</f>
        <v>279</v>
      </c>
      <c r="H61" s="139">
        <v>4281</v>
      </c>
      <c r="I61" s="257"/>
      <c r="J61" s="243"/>
    </row>
    <row r="62" spans="1:10" ht="14.1" customHeight="1" x14ac:dyDescent="0.25">
      <c r="A62" s="101"/>
      <c r="B62" s="24"/>
      <c r="C62" s="77" t="s">
        <v>132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15.5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142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147</v>
      </c>
      <c r="G91" s="15" t="s">
        <v>148</v>
      </c>
      <c r="H91" s="15" t="s">
        <v>149</v>
      </c>
      <c r="I91" s="15" t="s">
        <v>150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2.2427999999999999</v>
      </c>
      <c r="G92" s="11">
        <f t="shared" si="6"/>
        <v>23263.661969999997</v>
      </c>
      <c r="H92" s="11">
        <f t="shared" si="6"/>
        <v>2697.3380300000008</v>
      </c>
      <c r="I92" s="11">
        <f t="shared" si="6"/>
        <v>39081.376320000003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2.2428</f>
        <v>2.2427999999999999</v>
      </c>
      <c r="G93" s="23">
        <f>22485.42472</f>
        <v>22485.424719999999</v>
      </c>
      <c r="H93" s="23">
        <f>E93-G93</f>
        <v>2650.5752800000009</v>
      </c>
      <c r="I93" s="23">
        <f>38581.50933</f>
        <v>38581.509330000001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778.23725</f>
        <v>778.23725000000002</v>
      </c>
      <c r="H94" s="50">
        <f>E94-G94</f>
        <v>46.762749999999983</v>
      </c>
      <c r="I94" s="50">
        <f>499.86699</f>
        <v>499.86698999999999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822.71910000000003</v>
      </c>
      <c r="G95" s="11">
        <f t="shared" si="7"/>
        <v>35613.310250000002</v>
      </c>
      <c r="H95" s="11">
        <f t="shared" si="7"/>
        <v>13380.689750000001</v>
      </c>
      <c r="I95" s="11">
        <f t="shared" si="7"/>
        <v>25053.694439999999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802.85125000000005</v>
      </c>
      <c r="G96" s="132">
        <f t="shared" si="8"/>
        <v>28647.28501</v>
      </c>
      <c r="H96" s="132">
        <f t="shared" si="8"/>
        <v>8846.7149900000004</v>
      </c>
      <c r="I96" s="132">
        <f t="shared" si="8"/>
        <v>18285.16085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50.04499</f>
        <v>50.044989999999999</v>
      </c>
      <c r="G97" s="127">
        <f>4360.7102</f>
        <v>4360.7102000000004</v>
      </c>
      <c r="H97" s="127">
        <f t="shared" ref="H97:H104" si="9">E97-G97</f>
        <v>5654.2897999999996</v>
      </c>
      <c r="I97" s="127">
        <f>2592.70091</f>
        <v>2592.70091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310.03487</f>
        <v>310.03487000000001</v>
      </c>
      <c r="G98" s="127">
        <f>9419.77831</f>
        <v>9419.7783099999997</v>
      </c>
      <c r="H98" s="127">
        <f t="shared" si="9"/>
        <v>1194.2216900000003</v>
      </c>
      <c r="I98" s="127">
        <f>5659.435</f>
        <v>5659.4350000000004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246.57665</f>
        <v>246.57665</v>
      </c>
      <c r="G99" s="127">
        <f>8956.58831</f>
        <v>8956.5883099999992</v>
      </c>
      <c r="H99" s="127">
        <f t="shared" si="9"/>
        <v>1155.4116900000008</v>
      </c>
      <c r="I99" s="127">
        <f>5357.96523</f>
        <v>5357.9652299999998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196.19474</f>
        <v>196.19474</v>
      </c>
      <c r="G100" s="127">
        <f>5910.20819</f>
        <v>5910.2081900000003</v>
      </c>
      <c r="H100" s="127">
        <f t="shared" si="9"/>
        <v>842.79180999999971</v>
      </c>
      <c r="I100" s="127">
        <f>4675.05971</f>
        <v>4675.0597100000005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0.0334</f>
        <v>3.3399999999999999E-2</v>
      </c>
      <c r="G101" s="132">
        <f>5017.41117</f>
        <v>5017.4111700000003</v>
      </c>
      <c r="H101" s="132">
        <f t="shared" si="9"/>
        <v>2578.5888299999997</v>
      </c>
      <c r="I101" s="132">
        <f>5449.71989</f>
        <v>5449.7198900000003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19.83445</f>
        <v>19.83445</v>
      </c>
      <c r="G102" s="75">
        <f>1948.61407</f>
        <v>1948.6140700000001</v>
      </c>
      <c r="H102" s="75">
        <f t="shared" si="9"/>
        <v>1955.3859299999999</v>
      </c>
      <c r="I102" s="75">
        <f>1318.8137</f>
        <v>1318.8136999999999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36.10276</f>
        <v>36.102760000000004</v>
      </c>
      <c r="H103" s="98">
        <f t="shared" si="9"/>
        <v>282.89724000000001</v>
      </c>
      <c r="I103" s="98">
        <f>11.24867</f>
        <v>11.248670000000001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0.51295</f>
        <v>0.51295000000000002</v>
      </c>
      <c r="G104" s="139">
        <f>E104</f>
        <v>300</v>
      </c>
      <c r="H104" s="139">
        <f t="shared" si="9"/>
        <v>0</v>
      </c>
      <c r="I104" s="139">
        <f>E104</f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0.0663</f>
        <v>6.6299999999999998E-2</v>
      </c>
      <c r="G105" s="98">
        <f>20.99886</f>
        <v>20.998860000000001</v>
      </c>
      <c r="H105" s="139">
        <f>E105-G105</f>
        <v>29.001139999999999</v>
      </c>
      <c r="I105" s="98">
        <f>7.2116</f>
        <v>7.2115999999999998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0.96796</f>
        <v>0.96796000000000004</v>
      </c>
      <c r="G106" s="139">
        <f>27.36596</f>
        <v>27.365960000000001</v>
      </c>
      <c r="H106" s="139">
        <f t="shared" ref="H106" si="10">E106-G106</f>
        <v>-27.365960000000001</v>
      </c>
      <c r="I106" s="139">
        <f>87.90276</f>
        <v>87.902760000000001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826.50910999999996</v>
      </c>
      <c r="G107" s="76">
        <f t="shared" si="12"/>
        <v>59261.4398</v>
      </c>
      <c r="H107" s="76">
        <f t="shared" si="12"/>
        <v>16362.560200000004</v>
      </c>
      <c r="I107" s="76">
        <f t="shared" si="12"/>
        <v>64541.433790000003</v>
      </c>
      <c r="J107" s="243"/>
    </row>
    <row r="108" spans="1:10" ht="13.5" customHeight="1" x14ac:dyDescent="0.25">
      <c r="A108" s="1"/>
      <c r="B108" s="253"/>
      <c r="C108" s="77" t="s">
        <v>133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144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134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147</v>
      </c>
      <c r="G127" s="15" t="s">
        <v>148</v>
      </c>
      <c r="H127" s="15" t="s">
        <v>149</v>
      </c>
      <c r="I127" s="15" t="s">
        <v>150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466.70445000000001</v>
      </c>
      <c r="G128" s="11">
        <f t="shared" si="13"/>
        <v>40904.757669999999</v>
      </c>
      <c r="H128" s="11">
        <f t="shared" si="13"/>
        <v>31402.242329999997</v>
      </c>
      <c r="I128" s="11">
        <f t="shared" si="13"/>
        <v>42815.188649999996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466.70445</f>
        <v>466.70445000000001</v>
      </c>
      <c r="G129" s="23">
        <f>36477.36551</f>
        <v>36477.365510000003</v>
      </c>
      <c r="H129" s="23">
        <f>E129-G129</f>
        <v>21084.634489999997</v>
      </c>
      <c r="I129" s="23">
        <f>37869.7239</f>
        <v>37869.723899999997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4361.94201</f>
        <v>4361.9420099999998</v>
      </c>
      <c r="H130" s="23">
        <f>E130-G130</f>
        <v>9883.0579900000012</v>
      </c>
      <c r="I130" s="23">
        <f>4830.1585</f>
        <v>4830.1584999999995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65.45015</f>
        <v>65.450149999999994</v>
      </c>
      <c r="H131" s="55">
        <f>E131-G131</f>
        <v>434.54984999999999</v>
      </c>
      <c r="I131" s="23">
        <f>115.30625</f>
        <v>115.30625000000001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949.034</f>
        <v>949.03399999999999</v>
      </c>
      <c r="G132" s="95">
        <f>11353.6+3747.18744</f>
        <v>15100.78744</v>
      </c>
      <c r="H132" s="95">
        <f>E132-G132</f>
        <v>37395.21256</v>
      </c>
      <c r="I132" s="95">
        <f>31949.71009</f>
        <v>31949.71009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803.16320999999994</v>
      </c>
      <c r="G133" s="94">
        <f t="shared" ref="G133" si="14">G134+G139+G142</f>
        <v>50145.125310000003</v>
      </c>
      <c r="H133" s="94">
        <f>H134+H139+H142</f>
        <v>30019.874690000001</v>
      </c>
      <c r="I133" s="94">
        <f>I134+I139+I142</f>
        <v>54012.305179999996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661.76728000000003</v>
      </c>
      <c r="G134" s="125">
        <f>G135+G136+G138+G137</f>
        <v>36921.754690000002</v>
      </c>
      <c r="H134" s="125">
        <f>H135+H136+H137+H138</f>
        <v>22157.245309999998</v>
      </c>
      <c r="I134" s="125">
        <f>I135+I136+I137+I138</f>
        <v>42903.137159999998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135.12979</f>
        <v>135.12979000000001</v>
      </c>
      <c r="G135" s="127">
        <v>7534.4137000000001</v>
      </c>
      <c r="H135" s="127">
        <f>E135-G135</f>
        <v>10239.586299999999</v>
      </c>
      <c r="I135" s="127">
        <f>6570.11201</f>
        <v>6570.1120099999998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136.33922</f>
        <v>136.33922000000001</v>
      </c>
      <c r="G136" s="127">
        <v>10923.858495</v>
      </c>
      <c r="H136" s="127">
        <f>E136-G136</f>
        <v>4015.1415049999996</v>
      </c>
      <c r="I136" s="127">
        <f>11125.44195</f>
        <v>11125.44195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201.37922</f>
        <v>201.37922</v>
      </c>
      <c r="G137" s="127">
        <v>9546.9718250000005</v>
      </c>
      <c r="H137" s="127">
        <f>E137-G137</f>
        <v>3504.0281749999995</v>
      </c>
      <c r="I137" s="127">
        <f>13574.48082</f>
        <v>13574.480820000001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188.91905</f>
        <v>188.91905</v>
      </c>
      <c r="G138" s="127">
        <v>8916.5106699999997</v>
      </c>
      <c r="H138" s="127">
        <f>E138-G138</f>
        <v>4398.4893300000003</v>
      </c>
      <c r="I138" s="127">
        <f>11633.10238</f>
        <v>11633.10238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0.60263999999999995</v>
      </c>
      <c r="G139" s="132">
        <f>SUM(G140:G141)</f>
        <v>8851.945740000001</v>
      </c>
      <c r="H139" s="132">
        <f>H140+H141</f>
        <v>78.054259999999488</v>
      </c>
      <c r="I139" s="132">
        <f>SUM(I140:I141)</f>
        <v>6444.5253199999997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0</f>
        <v>0</v>
      </c>
      <c r="G140" s="127">
        <f>8455.5614</f>
        <v>8455.5614000000005</v>
      </c>
      <c r="H140" s="127">
        <f t="shared" ref="H140:H148" si="15">E140-G140</f>
        <v>-25.561400000000503</v>
      </c>
      <c r="I140" s="127">
        <f>6276.34805</f>
        <v>6276.3480499999996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0.60264</f>
        <v>0.60263999999999995</v>
      </c>
      <c r="G141" s="127">
        <f>396.38434</f>
        <v>396.38434000000001</v>
      </c>
      <c r="H141" s="127">
        <f t="shared" si="15"/>
        <v>103.61565999999999</v>
      </c>
      <c r="I141" s="127">
        <f>168.17727</f>
        <v>168.17726999999999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140.79329</f>
        <v>140.79329000000001</v>
      </c>
      <c r="G142" s="75">
        <f>4371.42488</f>
        <v>4371.4248799999996</v>
      </c>
      <c r="H142" s="75">
        <f t="shared" si="15"/>
        <v>7784.5751200000004</v>
      </c>
      <c r="I142" s="75">
        <f>4664.6427</f>
        <v>4664.6427000000003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15.71255</f>
        <v>15.71255</v>
      </c>
      <c r="H143" s="139">
        <f t="shared" si="15"/>
        <v>130.28745000000001</v>
      </c>
      <c r="I143" s="139">
        <f>30.361</f>
        <v>30.361000000000001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21.93986</f>
        <v>21.939859999999999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0</f>
        <v>0</v>
      </c>
      <c r="G147" s="98">
        <f>43.55758</f>
        <v>43.557580000000002</v>
      </c>
      <c r="H147" s="139">
        <f t="shared" si="15"/>
        <v>232.44242</v>
      </c>
      <c r="I147" s="98">
        <f>26.73843</f>
        <v>26.738430000000001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0.19505</f>
        <v>0.19505</v>
      </c>
      <c r="G148" s="139">
        <f>113.85354</f>
        <v>113.85354</v>
      </c>
      <c r="H148" s="139">
        <f t="shared" si="15"/>
        <v>-113.85354</v>
      </c>
      <c r="I148" s="139">
        <f>95.18393</f>
        <v>95.183930000000004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2241.0365699999998</v>
      </c>
      <c r="G150" s="76">
        <f>G128+G132+G133+G143+G144+G145+G146+G147+G148</f>
        <v>108579.83008999999</v>
      </c>
      <c r="H150" s="76">
        <f>H128+H132+H133+H143+H144+H145+H146+H147+H148</f>
        <v>99060.169910000011</v>
      </c>
      <c r="I150" s="76">
        <f>I128+I132+I133+I143+I144+I145+I146+I147+I148</f>
        <v>131192.06828000001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135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145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136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147</v>
      </c>
      <c r="F174" s="15" t="s">
        <v>148</v>
      </c>
      <c r="G174" s="54" t="s">
        <v>149</v>
      </c>
      <c r="H174" s="15" t="s">
        <v>150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4.01111</f>
        <v>4.0111100000000004</v>
      </c>
      <c r="F175" s="275">
        <f>764.42023</f>
        <v>764.42022999999995</v>
      </c>
      <c r="G175" s="43">
        <f>D175-F175-F176</f>
        <v>2161.4983200000006</v>
      </c>
      <c r="H175" s="275">
        <f>1345.79999</f>
        <v>1345.79999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0</f>
        <v>0</v>
      </c>
      <c r="F176" s="152">
        <f>1297.08145</f>
        <v>1297.0814499999999</v>
      </c>
      <c r="G176" s="216"/>
      <c r="H176" s="152">
        <f>1445.46778</f>
        <v>1445.4677799999999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0</f>
        <v>0</v>
      </c>
      <c r="F177" s="172">
        <f>82.16938</f>
        <v>82.169380000000004</v>
      </c>
      <c r="G177" s="172">
        <f>D177-F177</f>
        <v>117.83062</v>
      </c>
      <c r="H177" s="172">
        <f>71.56716</f>
        <v>71.567160000000001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11.55326</v>
      </c>
      <c r="F178" s="181">
        <f>F179+F180+F181</f>
        <v>3870.2015099999999</v>
      </c>
      <c r="G178" s="181">
        <f>D178-F178</f>
        <v>2463.7984900000001</v>
      </c>
      <c r="H178" s="181">
        <f>H179+H180+H181</f>
        <v>4868.0865100000001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2.618</f>
        <v>2.6179999999999999</v>
      </c>
      <c r="F179" s="127">
        <f>1861.92928</f>
        <v>1861.9292800000001</v>
      </c>
      <c r="G179" s="127"/>
      <c r="H179" s="127">
        <f>2253.00769</f>
        <v>2253.0076899999999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4.07222</f>
        <v>4.0722199999999997</v>
      </c>
      <c r="F180" s="127">
        <f>1215.10764</f>
        <v>1215.1076399999999</v>
      </c>
      <c r="G180" s="127"/>
      <c r="H180" s="127">
        <f>1597.22122</f>
        <v>1597.2212199999999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4.86304</f>
        <v>4.8630399999999998</v>
      </c>
      <c r="F181" s="192">
        <f>793.16459</f>
        <v>793.16458999999998</v>
      </c>
      <c r="G181" s="192"/>
      <c r="H181" s="192">
        <f>1017.8576</f>
        <v>1017.8576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15.56437</v>
      </c>
      <c r="F184" s="194">
        <f>F175+F176+F177+F178+F182+F183</f>
        <v>6013.8725699999995</v>
      </c>
      <c r="G184" s="194">
        <f>D184-F184</f>
        <v>4809.1274300000005</v>
      </c>
      <c r="H184" s="194">
        <f>H175+H176+H177+H178+H182+H183</f>
        <v>7730.9214400000001</v>
      </c>
      <c r="I184" s="163"/>
      <c r="J184" s="160"/>
    </row>
    <row r="185" spans="1:10" ht="42" customHeight="1" x14ac:dyDescent="0.25">
      <c r="A185" s="1"/>
      <c r="B185" s="198"/>
      <c r="C185" s="226" t="s">
        <v>143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123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124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127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147</v>
      </c>
      <c r="F203" s="68" t="s">
        <v>148</v>
      </c>
      <c r="G203" s="68" t="s">
        <v>149</v>
      </c>
      <c r="H203" s="68" t="s">
        <v>150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48.52715</f>
        <v>48.527149999999999</v>
      </c>
      <c r="F204" s="124">
        <f>37493.60893</f>
        <v>37493.608930000002</v>
      </c>
      <c r="G204" s="124">
        <f>D204-F204</f>
        <v>8788.3910699999979</v>
      </c>
      <c r="H204" s="124">
        <f>38502.19517</f>
        <v>38502.195169999999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0.0485</f>
        <v>4.8500000000000001E-2</v>
      </c>
      <c r="F205" s="124">
        <f>26.90482</f>
        <v>26.904820000000001</v>
      </c>
      <c r="G205" s="124">
        <f>D205-F205</f>
        <v>73.095179999999999</v>
      </c>
      <c r="H205" s="124">
        <f>46.22325</f>
        <v>46.22325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48.575649999999996</v>
      </c>
      <c r="F207" s="190">
        <f>SUM(F204:F206)</f>
        <v>37520.513750000006</v>
      </c>
      <c r="G207" s="190">
        <f>D207-F207</f>
        <v>8897.4862499999945</v>
      </c>
      <c r="H207" s="190">
        <f>SUM(H204:H206)</f>
        <v>38548.418420000002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118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147</v>
      </c>
      <c r="F248" s="68" t="s">
        <v>148</v>
      </c>
      <c r="G248" s="68" t="s">
        <v>149</v>
      </c>
      <c r="H248" s="68" t="s">
        <v>150</v>
      </c>
      <c r="I248" s="1"/>
      <c r="J248" s="120"/>
    </row>
    <row r="249" spans="1:10" ht="15" customHeight="1" x14ac:dyDescent="0.25">
      <c r="A249" s="1"/>
      <c r="B249" s="253"/>
      <c r="C249" s="90" t="s">
        <v>125</v>
      </c>
      <c r="D249" s="124">
        <v>3987</v>
      </c>
      <c r="E249" s="75">
        <f>E250+E251</f>
        <v>2.5548999999999999</v>
      </c>
      <c r="F249" s="75">
        <f>F250+F251</f>
        <v>3534.0114899999999</v>
      </c>
      <c r="G249" s="75">
        <f>D249-F249</f>
        <v>452.98851000000013</v>
      </c>
      <c r="H249" s="75">
        <f>H250+H251</f>
        <v>2781.6687900000002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0.17088</f>
        <v>0.17088</v>
      </c>
      <c r="F250" s="75">
        <f>3036.39238</f>
        <v>3036.3923799999998</v>
      </c>
      <c r="G250" s="75"/>
      <c r="H250" s="75">
        <f>2277.86762</f>
        <v>2277.86762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2.38402</f>
        <v>2.38402</v>
      </c>
      <c r="F251" s="124">
        <f>497.61911</f>
        <v>497.61910999999998</v>
      </c>
      <c r="G251" s="168"/>
      <c r="H251" s="124">
        <f>503.80117</f>
        <v>503.80117000000001</v>
      </c>
      <c r="I251" s="247"/>
      <c r="J251" s="120"/>
    </row>
    <row r="252" spans="1:10" ht="15" customHeight="1" x14ac:dyDescent="0.25">
      <c r="A252" s="1"/>
      <c r="B252" s="253"/>
      <c r="C252" s="90" t="s">
        <v>126</v>
      </c>
      <c r="D252" s="124">
        <v>4613</v>
      </c>
      <c r="E252" s="75">
        <f>52.93378</f>
        <v>52.933779999999999</v>
      </c>
      <c r="F252" s="75">
        <f>4838.32313</f>
        <v>4838.3231299999998</v>
      </c>
      <c r="G252" s="75">
        <f>D252-F252</f>
        <v>-225.32312999999976</v>
      </c>
      <c r="H252" s="75">
        <f>4563.11329</f>
        <v>4563.1132900000002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SUM(E249,E252)</f>
        <v>55.488680000000002</v>
      </c>
      <c r="F253" s="190">
        <f>SUM(F249,F252)</f>
        <v>8372.3346199999996</v>
      </c>
      <c r="G253" s="190">
        <f>D253-F253</f>
        <v>227.66538000000037</v>
      </c>
      <c r="H253" s="190">
        <f>SUM(H249,H252)</f>
        <v>7344.7820800000009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119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147</v>
      </c>
      <c r="F294" s="68" t="s">
        <v>148</v>
      </c>
      <c r="G294" s="68" t="s">
        <v>149</v>
      </c>
      <c r="H294" s="68" t="s">
        <v>150</v>
      </c>
      <c r="I294" s="1"/>
      <c r="J294" s="120"/>
    </row>
    <row r="295" spans="1:10" ht="15" customHeight="1" x14ac:dyDescent="0.25">
      <c r="A295" s="1"/>
      <c r="B295" s="253"/>
      <c r="C295" s="90" t="s">
        <v>125</v>
      </c>
      <c r="D295" s="124">
        <v>5090</v>
      </c>
      <c r="E295" s="75">
        <f>E296+E297</f>
        <v>2.4328000000000003</v>
      </c>
      <c r="F295" s="75">
        <f>F296+F297</f>
        <v>4042.2869000000001</v>
      </c>
      <c r="G295" s="75">
        <f>D295-F295</f>
        <v>1047.7130999999999</v>
      </c>
      <c r="H295" s="75">
        <f>H296+H297</f>
        <v>3831.74359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0.06036</f>
        <v>6.0359999999999997E-2</v>
      </c>
      <c r="F296" s="75">
        <f>3615.54849</f>
        <v>3615.5484900000001</v>
      </c>
      <c r="G296" s="75"/>
      <c r="H296" s="75">
        <f>3419.37195</f>
        <v>3419.3719500000002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2.37244</f>
        <v>2.3724400000000001</v>
      </c>
      <c r="F297" s="124">
        <f>426.73841</f>
        <v>426.73840999999999</v>
      </c>
      <c r="G297" s="168"/>
      <c r="H297" s="124">
        <f>412.37164</f>
        <v>412.37164000000001</v>
      </c>
      <c r="I297" s="247"/>
      <c r="J297" s="120"/>
    </row>
    <row r="298" spans="1:10" ht="15" customHeight="1" x14ac:dyDescent="0.25">
      <c r="A298" s="1"/>
      <c r="B298" s="253"/>
      <c r="C298" s="90" t="s">
        <v>126</v>
      </c>
      <c r="D298" s="124">
        <v>2981</v>
      </c>
      <c r="E298" s="75">
        <f>36.98108</f>
        <v>36.981079999999999</v>
      </c>
      <c r="F298" s="75">
        <f>2160.93865</f>
        <v>2160.9386500000001</v>
      </c>
      <c r="G298" s="75">
        <f>D298-F298</f>
        <v>820.06134999999995</v>
      </c>
      <c r="H298" s="75">
        <f>2594.3632</f>
        <v>2594.3631999999998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SUM(E295,E298)</f>
        <v>39.413879999999999</v>
      </c>
      <c r="F299" s="190">
        <f>SUM(F295,F298)</f>
        <v>6203.2255500000001</v>
      </c>
      <c r="G299" s="190">
        <f>D299-F299</f>
        <v>1867.7744499999999</v>
      </c>
      <c r="H299" s="190">
        <f>SUM(H295,H298)</f>
        <v>6426.1067899999998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128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147</v>
      </c>
      <c r="F349" s="68" t="s">
        <v>148</v>
      </c>
      <c r="G349" s="68" t="s">
        <v>149</v>
      </c>
      <c r="H349" s="68" t="s">
        <v>150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8.98777</f>
        <v>8.9877699999999994</v>
      </c>
      <c r="F350" s="124">
        <f>415.13337</f>
        <v>415.13337000000001</v>
      </c>
      <c r="G350" s="124">
        <f>D350-F350</f>
        <v>384.86662999999999</v>
      </c>
      <c r="H350" s="124">
        <f>386.39581</f>
        <v>386.39580999999998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102.2582</f>
        <v>102.2582</v>
      </c>
      <c r="F351" s="124">
        <f>1465.90088</f>
        <v>1465.9008799999999</v>
      </c>
      <c r="G351" s="124">
        <f>D351-F351</f>
        <v>1575.0991200000001</v>
      </c>
      <c r="H351" s="124">
        <f>1839.384</f>
        <v>1839.384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2.73874</f>
        <v>2.73874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0.091</f>
        <v>9.0999999999999998E-2</v>
      </c>
      <c r="G353" s="124">
        <f>D353-F353</f>
        <v>-9.0999999999999998E-2</v>
      </c>
      <c r="H353" s="168">
        <f>1.68235</f>
        <v>1.68235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111.24597</v>
      </c>
      <c r="F354" s="190">
        <f>SUM(F350:F353)</f>
        <v>1884.7348699999998</v>
      </c>
      <c r="G354" s="190">
        <f>D354-F354</f>
        <v>1966.2651300000002</v>
      </c>
      <c r="H354" s="190">
        <f>H350+H351+H352+H353</f>
        <v>2230.2008999999998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139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140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147</v>
      </c>
      <c r="G379" s="222" t="s">
        <v>148</v>
      </c>
      <c r="H379" s="222" t="s">
        <v>149</v>
      </c>
      <c r="I379" s="222" t="s">
        <v>150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419.09870000000001</v>
      </c>
      <c r="G380" s="252">
        <f t="shared" si="17"/>
        <v>9107.9937800000007</v>
      </c>
      <c r="H380" s="252">
        <f>H384+H383+H382+H381</f>
        <v>13861.006219999999</v>
      </c>
      <c r="I380" s="252">
        <f t="shared" si="17"/>
        <v>8195.2983400000012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362.4075</f>
        <v>362.40750000000003</v>
      </c>
      <c r="G381" s="256">
        <f>5356.68176</f>
        <v>5356.6817600000004</v>
      </c>
      <c r="H381" s="256">
        <f t="shared" ref="H381:H385" si="18">E381-G381</f>
        <v>7833.3182399999996</v>
      </c>
      <c r="I381" s="256">
        <f>3727.71814</f>
        <v>3727.7181399999999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912.4407</f>
        <v>912.44069999999999</v>
      </c>
      <c r="H382" s="256">
        <f t="shared" si="18"/>
        <v>2520.5592999999999</v>
      </c>
      <c r="I382" s="256">
        <f>892.13805</f>
        <v>892.13805000000002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46.5936</f>
        <v>46.593600000000002</v>
      </c>
      <c r="G383" s="256">
        <f>1398.92986</f>
        <v>1398.92986</v>
      </c>
      <c r="H383" s="256">
        <f t="shared" si="18"/>
        <v>84.070140000000038</v>
      </c>
      <c r="I383" s="256">
        <f>1469.02545</f>
        <v>1469.0254500000001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10.0976</f>
        <v>10.0976</v>
      </c>
      <c r="G384" s="256">
        <f>1439.94146</f>
        <v>1439.94146</v>
      </c>
      <c r="H384" s="256">
        <f t="shared" si="18"/>
        <v>3423.05854</v>
      </c>
      <c r="I384" s="256">
        <f>2106.4167</f>
        <v>2106.4167000000002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1.822</f>
        <v>1.8220000000000001</v>
      </c>
      <c r="G385" s="267">
        <f>2134.01578</f>
        <v>2134.0157800000002</v>
      </c>
      <c r="H385" s="267">
        <f t="shared" si="18"/>
        <v>3365.9842199999998</v>
      </c>
      <c r="I385" s="267">
        <f>5096.83428</f>
        <v>5096.83428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20.915490000000002</v>
      </c>
      <c r="G386" s="268">
        <f>G388+G387</f>
        <v>1978.7815599999999</v>
      </c>
      <c r="H386" s="268">
        <f>E386-G386</f>
        <v>6021.2184400000006</v>
      </c>
      <c r="I386" s="268">
        <f>I388+I387</f>
        <v>2574.4966100000001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0.37968</f>
        <v>0.37968000000000002</v>
      </c>
      <c r="G387" s="256">
        <f>600.23663</f>
        <v>600.23662999999999</v>
      </c>
      <c r="H387" s="256"/>
      <c r="I387" s="256">
        <f>837.79688</f>
        <v>837.79687999999999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20.53581</f>
        <v>20.535810000000001</v>
      </c>
      <c r="G388" s="277">
        <f>1378.54493</f>
        <v>1378.54493</v>
      </c>
      <c r="H388" s="277"/>
      <c r="I388" s="277">
        <f>1736.69973</f>
        <v>1736.69973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0.1164</f>
        <v>0.1164</v>
      </c>
      <c r="H389" s="267">
        <f>E389-G389</f>
        <v>12.883599999999999</v>
      </c>
      <c r="I389" s="267">
        <f>0.0735</f>
        <v>7.3499999999999996E-2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29.95444</f>
        <v>29.954440000000002</v>
      </c>
      <c r="G390" s="267">
        <f>86.11072</f>
        <v>86.110720000000001</v>
      </c>
      <c r="H390" s="267">
        <f>E390-G390</f>
        <v>-86.110720000000001</v>
      </c>
      <c r="I390" s="267">
        <f>61.70874</f>
        <v>61.708739999999999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471.79062999999996</v>
      </c>
      <c r="G391" s="286">
        <f t="shared" si="19"/>
        <v>13307.018240000001</v>
      </c>
      <c r="H391" s="286">
        <f>H380+H385+H386+H389+H390</f>
        <v>23174.981759999999</v>
      </c>
      <c r="I391" s="286">
        <f t="shared" si="19"/>
        <v>15928.411470000001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138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137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34.7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291" t="s">
        <v>120</v>
      </c>
      <c r="D407" s="291"/>
      <c r="E407" s="291"/>
      <c r="F407" s="291"/>
      <c r="G407" s="291"/>
      <c r="H407" s="291"/>
      <c r="I407" s="150"/>
      <c r="J407" s="130"/>
    </row>
    <row r="408" spans="1:10" ht="14.1" customHeight="1" x14ac:dyDescent="0.25">
      <c r="A408" s="217"/>
      <c r="B408" s="72"/>
      <c r="C408" s="291"/>
      <c r="D408" s="291"/>
      <c r="E408" s="291"/>
      <c r="F408" s="291"/>
      <c r="G408" s="291"/>
      <c r="H408" s="291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147</v>
      </c>
      <c r="F412" s="20" t="s">
        <v>148</v>
      </c>
      <c r="G412" s="25" t="s">
        <v>149</v>
      </c>
      <c r="H412" s="20" t="s">
        <v>150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80.800399999999996</v>
      </c>
      <c r="F413" s="26">
        <f>SUM(F414:F415)</f>
        <v>411.75559999999996</v>
      </c>
      <c r="G413" s="85">
        <f>D413-F413</f>
        <v>823.24440000000004</v>
      </c>
      <c r="H413" s="26">
        <f>SUM(H414:H415)</f>
        <v>378.12477999999999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67.853</f>
        <v>67.852999999999994</v>
      </c>
      <c r="F414" s="205">
        <f>331.561</f>
        <v>331.56099999999998</v>
      </c>
      <c r="G414" s="206"/>
      <c r="H414" s="205">
        <f>299.1307</f>
        <v>299.13069999999999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12.9474</f>
        <v>12.9474</v>
      </c>
      <c r="F415" s="208">
        <f>80.1946</f>
        <v>80.194599999999994</v>
      </c>
      <c r="G415" s="209"/>
      <c r="H415" s="208">
        <f>78.99408</f>
        <v>78.994079999999997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0</v>
      </c>
      <c r="G416" s="85">
        <f>D416-F416</f>
        <v>1060</v>
      </c>
      <c r="H416" s="26">
        <f>SUM(H417:H418)</f>
        <v>0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0</f>
        <v>0</v>
      </c>
      <c r="G417" s="97"/>
      <c r="H417" s="30">
        <f>0</f>
        <v>0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0</f>
        <v>0</v>
      </c>
      <c r="G418" s="108"/>
      <c r="H418" s="30">
        <f>0</f>
        <v>0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0</v>
      </c>
      <c r="F419" s="36">
        <f>SUM(F420:F421)</f>
        <v>0</v>
      </c>
      <c r="G419" s="85">
        <f>D419-F419</f>
        <v>1235</v>
      </c>
      <c r="H419" s="36">
        <f>SUM(H420:H421)</f>
        <v>0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80.800399999999996</v>
      </c>
      <c r="F423" s="40">
        <f>F413+F416+F419+F422</f>
        <v>411.75559999999996</v>
      </c>
      <c r="G423" s="41"/>
      <c r="H423" s="40">
        <f>H413+H416+H419+H422</f>
        <v>378.12477999999999</v>
      </c>
      <c r="I423" s="27"/>
      <c r="J423" s="130"/>
    </row>
    <row r="424" spans="1:10" ht="42" customHeight="1" x14ac:dyDescent="0.25">
      <c r="A424" s="217"/>
      <c r="B424" s="72"/>
      <c r="C424" s="292" t="s">
        <v>121</v>
      </c>
      <c r="D424" s="292"/>
      <c r="E424" s="292"/>
      <c r="F424" s="292"/>
      <c r="G424" s="292"/>
      <c r="H424" s="292"/>
      <c r="I424" s="292"/>
      <c r="J424" s="293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17:H17"/>
    <mergeCell ref="B2:J2"/>
    <mergeCell ref="B9:J9"/>
    <mergeCell ref="C11:D11"/>
    <mergeCell ref="E11:F11"/>
    <mergeCell ref="G11:H11"/>
    <mergeCell ref="C407:H408"/>
    <mergeCell ref="C424:J424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31&amp;R05.08.2024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2024-08-05T08:11:40Z</dcterms:modified>
</cp:coreProperties>
</file>