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Regulering\Seksjon for fiskeriregulering - NY MAPPE\ameik\Ukesstatistikk\2022\22-38\Inndata\"/>
    </mc:Choice>
  </mc:AlternateContent>
  <xr:revisionPtr revIDLastSave="0" documentId="13_ncr:1_{1F31BD37-201F-4050-B871-8FD8B98F3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38_2022" sheetId="1" r:id="rId1"/>
  </sheets>
  <definedNames>
    <definedName name="Z_14D440E4_F18A_4F78_9989_38C1B133222D_.wvu.Cols" localSheetId="0" hidden="1">UKE_38_2022!#REF!</definedName>
    <definedName name="Z_14D440E4_F18A_4F78_9989_38C1B133222D_.wvu.PrintArea" localSheetId="0" hidden="1">UKE_38_2022!$B$1:$J$359</definedName>
    <definedName name="Z_14D440E4_F18A_4F78_9989_38C1B133222D_.wvu.Rows" localSheetId="0" hidden="1">UKE_38_2022!#REF!,UKE_38_2022!#REF!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I35" i="1"/>
  <c r="G158" i="1"/>
  <c r="I31" i="1"/>
  <c r="I30" i="1"/>
  <c r="I29" i="1"/>
  <c r="I28" i="1"/>
  <c r="E56" i="1"/>
  <c r="F56" i="1"/>
  <c r="G31" i="1"/>
  <c r="G30" i="1"/>
  <c r="G29" i="1"/>
  <c r="G28" i="1"/>
  <c r="D357" i="1" l="1"/>
  <c r="H355" i="1"/>
  <c r="H353" i="1" s="1"/>
  <c r="F355" i="1"/>
  <c r="E355" i="1"/>
  <c r="E353" i="1" s="1"/>
  <c r="H354" i="1"/>
  <c r="F354" i="1"/>
  <c r="F353" i="1" s="1"/>
  <c r="G353" i="1" s="1"/>
  <c r="E354" i="1"/>
  <c r="H352" i="1"/>
  <c r="F352" i="1"/>
  <c r="E352" i="1"/>
  <c r="E350" i="1" s="1"/>
  <c r="H351" i="1"/>
  <c r="F351" i="1"/>
  <c r="F350" i="1" s="1"/>
  <c r="G350" i="1" s="1"/>
  <c r="E351" i="1"/>
  <c r="H350" i="1"/>
  <c r="H349" i="1"/>
  <c r="H347" i="1" s="1"/>
  <c r="F349" i="1"/>
  <c r="E349" i="1"/>
  <c r="E347" i="1" s="1"/>
  <c r="H348" i="1"/>
  <c r="F348" i="1"/>
  <c r="E348" i="1"/>
  <c r="F347" i="1"/>
  <c r="D325" i="1"/>
  <c r="I324" i="1"/>
  <c r="G324" i="1"/>
  <c r="H324" i="1" s="1"/>
  <c r="F324" i="1"/>
  <c r="I323" i="1"/>
  <c r="G323" i="1"/>
  <c r="H323" i="1" s="1"/>
  <c r="F323" i="1"/>
  <c r="I322" i="1"/>
  <c r="I320" i="1" s="1"/>
  <c r="G322" i="1"/>
  <c r="F322" i="1"/>
  <c r="F320" i="1" s="1"/>
  <c r="I321" i="1"/>
  <c r="G321" i="1"/>
  <c r="F321" i="1"/>
  <c r="G320" i="1"/>
  <c r="H320" i="1" s="1"/>
  <c r="I319" i="1"/>
  <c r="G319" i="1"/>
  <c r="H319" i="1" s="1"/>
  <c r="F319" i="1"/>
  <c r="I318" i="1"/>
  <c r="G318" i="1"/>
  <c r="H318" i="1" s="1"/>
  <c r="F318" i="1"/>
  <c r="I317" i="1"/>
  <c r="G317" i="1"/>
  <c r="H317" i="1" s="1"/>
  <c r="F317" i="1"/>
  <c r="F314" i="1" s="1"/>
  <c r="I316" i="1"/>
  <c r="G316" i="1"/>
  <c r="H316" i="1" s="1"/>
  <c r="F316" i="1"/>
  <c r="I315" i="1"/>
  <c r="G315" i="1"/>
  <c r="H315" i="1" s="1"/>
  <c r="F315" i="1"/>
  <c r="I314" i="1"/>
  <c r="G314" i="1"/>
  <c r="G325" i="1" s="1"/>
  <c r="E314" i="1"/>
  <c r="E325" i="1" s="1"/>
  <c r="D314" i="1"/>
  <c r="H306" i="1"/>
  <c r="F306" i="1"/>
  <c r="D288" i="1"/>
  <c r="H287" i="1"/>
  <c r="F287" i="1"/>
  <c r="E287" i="1"/>
  <c r="H286" i="1"/>
  <c r="F286" i="1"/>
  <c r="G286" i="1" s="1"/>
  <c r="E286" i="1"/>
  <c r="H285" i="1"/>
  <c r="F285" i="1"/>
  <c r="E285" i="1"/>
  <c r="H284" i="1"/>
  <c r="H288" i="1" s="1"/>
  <c r="F284" i="1"/>
  <c r="G284" i="1" s="1"/>
  <c r="E284" i="1"/>
  <c r="E288" i="1" s="1"/>
  <c r="D277" i="1"/>
  <c r="D233" i="1"/>
  <c r="G232" i="1"/>
  <c r="H231" i="1"/>
  <c r="H233" i="1" s="1"/>
  <c r="F231" i="1"/>
  <c r="G231" i="1" s="1"/>
  <c r="E231" i="1"/>
  <c r="H230" i="1"/>
  <c r="G230" i="1"/>
  <c r="F230" i="1"/>
  <c r="F233" i="1" s="1"/>
  <c r="E230" i="1"/>
  <c r="E233" i="1" s="1"/>
  <c r="D210" i="1"/>
  <c r="H208" i="1"/>
  <c r="F208" i="1"/>
  <c r="G208" i="1" s="1"/>
  <c r="E208" i="1"/>
  <c r="H207" i="1"/>
  <c r="F207" i="1"/>
  <c r="E207" i="1"/>
  <c r="H206" i="1"/>
  <c r="F206" i="1"/>
  <c r="E206" i="1"/>
  <c r="H205" i="1"/>
  <c r="H204" i="1" s="1"/>
  <c r="H210" i="1" s="1"/>
  <c r="F205" i="1"/>
  <c r="F204" i="1" s="1"/>
  <c r="G204" i="1" s="1"/>
  <c r="E205" i="1"/>
  <c r="E204" i="1"/>
  <c r="H203" i="1"/>
  <c r="F203" i="1"/>
  <c r="G203" i="1" s="1"/>
  <c r="E203" i="1"/>
  <c r="H202" i="1"/>
  <c r="F202" i="1"/>
  <c r="E202" i="1"/>
  <c r="H201" i="1"/>
  <c r="F201" i="1"/>
  <c r="F210" i="1" s="1"/>
  <c r="G210" i="1" s="1"/>
  <c r="E201" i="1"/>
  <c r="E210" i="1" s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I167" i="1"/>
  <c r="G167" i="1"/>
  <c r="H167" i="1" s="1"/>
  <c r="H166" i="1"/>
  <c r="H165" i="1" s="1"/>
  <c r="E165" i="1"/>
  <c r="D165" i="1"/>
  <c r="I164" i="1"/>
  <c r="H164" i="1"/>
  <c r="F164" i="1"/>
  <c r="I163" i="1"/>
  <c r="H163" i="1"/>
  <c r="F163" i="1"/>
  <c r="I162" i="1"/>
  <c r="H162" i="1"/>
  <c r="F162" i="1"/>
  <c r="I161" i="1"/>
  <c r="G160" i="1"/>
  <c r="F161" i="1"/>
  <c r="F160" i="1" s="1"/>
  <c r="F159" i="1" s="1"/>
  <c r="I160" i="1"/>
  <c r="E160" i="1"/>
  <c r="E159" i="1" s="1"/>
  <c r="D160" i="1"/>
  <c r="D159" i="1" s="1"/>
  <c r="I159" i="1"/>
  <c r="I158" i="1"/>
  <c r="H158" i="1"/>
  <c r="F158" i="1"/>
  <c r="H157" i="1"/>
  <c r="I156" i="1"/>
  <c r="G156" i="1"/>
  <c r="H156" i="1" s="1"/>
  <c r="F156" i="1"/>
  <c r="I155" i="1"/>
  <c r="G155" i="1"/>
  <c r="H155" i="1" s="1"/>
  <c r="F155" i="1"/>
  <c r="F154" i="1" s="1"/>
  <c r="F176" i="1" s="1"/>
  <c r="I154" i="1"/>
  <c r="I176" i="1" s="1"/>
  <c r="E154" i="1"/>
  <c r="D154" i="1"/>
  <c r="D176" i="1" s="1"/>
  <c r="C152" i="1"/>
  <c r="H132" i="1"/>
  <c r="H131" i="1"/>
  <c r="H129" i="1"/>
  <c r="F129" i="1"/>
  <c r="I128" i="1"/>
  <c r="G128" i="1"/>
  <c r="H128" i="1" s="1"/>
  <c r="F128" i="1"/>
  <c r="I127" i="1"/>
  <c r="H127" i="1"/>
  <c r="G127" i="1"/>
  <c r="F127" i="1"/>
  <c r="I126" i="1"/>
  <c r="G126" i="1"/>
  <c r="H126" i="1" s="1"/>
  <c r="F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G121" i="1" s="1"/>
  <c r="G120" i="1" s="1"/>
  <c r="F122" i="1"/>
  <c r="F121" i="1" s="1"/>
  <c r="F120" i="1" s="1"/>
  <c r="I121" i="1"/>
  <c r="E121" i="1"/>
  <c r="E120" i="1" s="1"/>
  <c r="D121" i="1"/>
  <c r="D120" i="1" s="1"/>
  <c r="I120" i="1"/>
  <c r="I119" i="1"/>
  <c r="G119" i="1"/>
  <c r="G117" i="1" s="1"/>
  <c r="G133" i="1" s="1"/>
  <c r="F119" i="1"/>
  <c r="F117" i="1" s="1"/>
  <c r="I118" i="1"/>
  <c r="H118" i="1"/>
  <c r="G118" i="1"/>
  <c r="F118" i="1"/>
  <c r="I117" i="1"/>
  <c r="I133" i="1" s="1"/>
  <c r="E117" i="1"/>
  <c r="D117" i="1"/>
  <c r="D133" i="1" s="1"/>
  <c r="C114" i="1"/>
  <c r="H110" i="1"/>
  <c r="F110" i="1"/>
  <c r="D110" i="1"/>
  <c r="G62" i="1"/>
  <c r="G61" i="1"/>
  <c r="H56" i="1"/>
  <c r="I32" i="1" s="1"/>
  <c r="G56" i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4" i="1"/>
  <c r="F35" i="1"/>
  <c r="E34" i="1"/>
  <c r="D34" i="1"/>
  <c r="I33" i="1"/>
  <c r="H33" i="1"/>
  <c r="G33" i="1"/>
  <c r="F33" i="1"/>
  <c r="G32" i="1"/>
  <c r="H32" i="1" s="1"/>
  <c r="F32" i="1"/>
  <c r="F27" i="1" s="1"/>
  <c r="H31" i="1"/>
  <c r="F31" i="1"/>
  <c r="H30" i="1"/>
  <c r="F30" i="1"/>
  <c r="H29" i="1"/>
  <c r="F29" i="1"/>
  <c r="F28" i="1"/>
  <c r="E27" i="1"/>
  <c r="D27" i="1"/>
  <c r="E26" i="1"/>
  <c r="D26" i="1"/>
  <c r="I25" i="1"/>
  <c r="G25" i="1"/>
  <c r="H25" i="1" s="1"/>
  <c r="H23" i="1" s="1"/>
  <c r="F25" i="1"/>
  <c r="I24" i="1"/>
  <c r="I23" i="1" s="1"/>
  <c r="H24" i="1"/>
  <c r="G24" i="1"/>
  <c r="G23" i="1" s="1"/>
  <c r="F24" i="1"/>
  <c r="F23" i="1" s="1"/>
  <c r="E23" i="1"/>
  <c r="E45" i="1" s="1"/>
  <c r="D23" i="1"/>
  <c r="D45" i="1" s="1"/>
  <c r="H16" i="1"/>
  <c r="F16" i="1"/>
  <c r="D16" i="1"/>
  <c r="F34" i="1" l="1"/>
  <c r="F26" i="1" s="1"/>
  <c r="F45" i="1" s="1"/>
  <c r="G34" i="1"/>
  <c r="G26" i="1" s="1"/>
  <c r="G45" i="1" s="1"/>
  <c r="G27" i="1"/>
  <c r="E176" i="1"/>
  <c r="H314" i="1"/>
  <c r="H325" i="1" s="1"/>
  <c r="F133" i="1"/>
  <c r="G233" i="1"/>
  <c r="H357" i="1"/>
  <c r="E133" i="1"/>
  <c r="F357" i="1"/>
  <c r="H154" i="1"/>
  <c r="F325" i="1"/>
  <c r="I27" i="1"/>
  <c r="I26" i="1" s="1"/>
  <c r="I45" i="1" s="1"/>
  <c r="I325" i="1"/>
  <c r="E357" i="1"/>
  <c r="F288" i="1"/>
  <c r="G288" i="1" s="1"/>
  <c r="G347" i="1"/>
  <c r="G357" i="1" s="1"/>
  <c r="H35" i="1"/>
  <c r="H119" i="1"/>
  <c r="H117" i="1" s="1"/>
  <c r="H122" i="1"/>
  <c r="H121" i="1" s="1"/>
  <c r="H120" i="1" s="1"/>
  <c r="H161" i="1"/>
  <c r="H160" i="1" s="1"/>
  <c r="H159" i="1" s="1"/>
  <c r="G201" i="1"/>
  <c r="H28" i="1"/>
  <c r="H27" i="1" s="1"/>
  <c r="G154" i="1"/>
  <c r="G176" i="1" s="1"/>
  <c r="H34" i="1" l="1"/>
  <c r="H133" i="1"/>
  <c r="H26" i="1"/>
  <c r="H45" i="1" s="1"/>
  <c r="H176" i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<sst xmlns="http://schemas.openxmlformats.org/spreadsheetml/2006/main" count="333" uniqueCount="150">
  <si>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</si>
  <si>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</si>
  <si>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</si>
  <si>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</si>
  <si>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</si>
  <si>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</si>
  <si>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</si>
  <si>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</si>
  <si>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</si>
  <si>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</si>
  <si>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</si>
  <si>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</si>
  <si>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</si>
  <si>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</si>
  <si>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</si>
  <si>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</si>
  <si>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</si>
  <si>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</si>
  <si>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</si>
  <si>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</si>
  <si>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</si>
  <si>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</si>
  <si>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</si>
  <si>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</si>
  <si>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</si>
  <si>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</si>
  <si>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</si>
  <si>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</si>
  <si>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</si>
  <si>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</si>
  <si>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</si>
  <si>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</si>
  <si>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</si>
  <si>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</si>
  <si>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</si>
  <si>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</si>
  <si>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</si>
  <si>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</si>
  <si>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</si>
  <si>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</si>
  <si>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</si>
  <si>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</si>
  <si>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</si>
  <si>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</si>
  <si>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</si>
  <si>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</si>
  <si>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</si>
  <si>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</si>
  <si>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</si>
  <si>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</si>
  <si>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</si>
  <si>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</si>
  <si>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</si>
  <si>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</si>
  <si>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</si>
  <si>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</si>
  <si>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</si>
  <si>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</si>
  <si>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</si>
  <si>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</si>
  <si>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</si>
  <si>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</si>
  <si>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</si>
  <si>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</si>
  <si>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</si>
  <si>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</si>
  <si>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</si>
  <si>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</si>
  <si>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</si>
  <si>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</si>
  <si>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</si>
  <si>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</si>
  <si>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</si>
  <si>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</si>
  <si>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</si>
  <si>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</si>
  <si>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</si>
  <si>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</si>
  <si>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</si>
  <si>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</si>
  <si>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</si>
  <si>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</si>
  <si>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</si>
  <si>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</si>
  <si>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</si>
  <si>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</si>
  <si>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</si>
  <si>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</si>
  <si>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</si>
  <si>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</si>
  <si>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</si>
  <si>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</si>
  <si>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</si>
  <si>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</si>
  <si>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</si>
  <si>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</si>
  <si>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</si>
  <si>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</si>
  <si>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</si>
  <si>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</si>
  <si>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</si>
  <si>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</si>
  <si>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</si>
  <si>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</si>
  <si>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</si>
  <si>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</si>
  <si>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</si>
  <si>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</si>
  <si>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</si>
  <si>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</si>
  <si>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</si>
  <si>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</si>
  <si>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</si>
  <si>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</si>
  <si>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</si>
  <si>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</si>
  <si>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</si>
  <si>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</si>
  <si>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</si>
  <si>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</si>
  <si>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</si>
  <si>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</si>
  <si>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</si>
  <si>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</si>
  <si>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</si>
  <si>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</si>
  <si>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</si>
  <si>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</si>
  <si>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</si>
  <si>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</si>
  <si>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</si>
  <si>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</si>
  <si>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</si>
  <si>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</si>
  <si>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</si>
  <si>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</si>
  <si>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</si>
  <si>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</si>
  <si>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</si>
  <si>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</si>
  <si>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</si>
  <si>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</si>
  <si>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38</t>
  </si>
  <si>
    <t>FANGST T.O.M UKE 38</t>
  </si>
  <si>
    <t>RESTKVOTER UKE 38</t>
  </si>
  <si>
    <t>FANGST T.O.M UKE 38 2021</t>
  </si>
  <si>
    <r>
      <t xml:space="preserve">3 </t>
    </r>
    <r>
      <rPr>
        <sz val="9"/>
        <color indexed="8"/>
        <rFont val="Calibri"/>
        <family val="2"/>
      </rPr>
      <t>Registrert rekreasjonsfiske utgjør 776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</si>
  <si>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458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</si>
  <si>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5 793 tonn sei med konvensjonelle redskap som belastes notkvoten.</t>
    </r>
  </si>
  <si>
    <r>
      <t xml:space="preserve">2 </t>
    </r>
    <r>
      <rPr>
        <sz val="9"/>
        <color indexed="8"/>
        <rFont val="Calibri"/>
        <family val="2"/>
      </rPr>
      <t>Registrert rekreasjonsfiske utgjør 52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</si>
</sst>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1" fontId="8" fillId="0" borderId="22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48" fillId="0" borderId="12" xfId="0" applyNumberFormat="1" applyFont="1" applyBorder="1" applyAlignment="1">
      <alignment horizontal="right" vertical="center" wrapText="1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topLeftCell="A136" zoomScale="85" zoomScaleNormal="85" zoomScaleSheetLayoutView="100" zoomScalePageLayoutView="115" workbookViewId="0">
      <selection activeCell="G159" sqref="G159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5" t="s">
        <v>0</v>
      </c>
      <c r="C2" s="296"/>
      <c r="D2" s="296"/>
      <c r="E2" s="296"/>
      <c r="F2" s="296"/>
      <c r="G2" s="296"/>
      <c r="H2" s="296"/>
      <c r="I2" s="296"/>
      <c r="J2" s="297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8"/>
      <c r="C9" s="299"/>
      <c r="D9" s="299"/>
      <c r="E9" s="299"/>
      <c r="F9" s="299"/>
      <c r="G9" s="299"/>
      <c r="H9" s="299"/>
      <c r="I9" s="299"/>
      <c r="J9" s="300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301" t="s">
        <v>2</v>
      </c>
      <c r="D11" s="302"/>
      <c r="E11" s="301" t="s">
        <v>3</v>
      </c>
      <c r="F11" s="302"/>
      <c r="G11" s="301" t="s">
        <v>4</v>
      </c>
      <c r="H11" s="302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301.02825000000001</v>
      </c>
      <c r="G23" s="28">
        <f t="shared" si="0"/>
        <v>73784.045610000001</v>
      </c>
      <c r="H23" s="11">
        <f t="shared" si="0"/>
        <v>38907.954389999999</v>
      </c>
      <c r="I23" s="11">
        <f t="shared" si="0"/>
        <v>67680.945549999989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294.52125</f>
        <v>294.52125000000001</v>
      </c>
      <c r="G24" s="23">
        <f>73377.90514</f>
        <v>73377.905140000003</v>
      </c>
      <c r="H24" s="23">
        <f>E24-G24</f>
        <v>38521.094859999997</v>
      </c>
      <c r="I24" s="23">
        <f>67334.33785</f>
        <v>67334.337849999996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6.507</f>
        <v>6.5069999999999997</v>
      </c>
      <c r="G25" s="23">
        <f>406.14047</f>
        <v>406.14046999999999</v>
      </c>
      <c r="H25" s="23">
        <f>E25-G25</f>
        <v>386.85953000000001</v>
      </c>
      <c r="I25" s="23">
        <f>346.6077</f>
        <v>346.60770000000002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896.64924999999994</v>
      </c>
      <c r="G26" s="11">
        <f t="shared" si="1"/>
        <v>211900.44720000002</v>
      </c>
      <c r="H26" s="11">
        <f t="shared" si="1"/>
        <v>46115.552800000005</v>
      </c>
      <c r="I26" s="11">
        <f t="shared" si="1"/>
        <v>220050.03938099998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659.74245999999994</v>
      </c>
      <c r="G27" s="136">
        <f t="shared" si="2"/>
        <v>172191.53415000002</v>
      </c>
      <c r="H27" s="136">
        <f t="shared" si="2"/>
        <v>26730.465850000001</v>
      </c>
      <c r="I27" s="136">
        <f t="shared" si="2"/>
        <v>182053.032461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78.02532</f>
        <v>78.025319999999994</v>
      </c>
      <c r="G28" s="130">
        <f>43568.1527-F57</f>
        <v>42868.152699999999</v>
      </c>
      <c r="H28" s="130">
        <f t="shared" ref="H28:H40" si="3">E28-G28</f>
        <v>7729.8473000000013</v>
      </c>
      <c r="I28" s="130">
        <f>43909.73021-H57</f>
        <v>42499.730210000002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178.97903</f>
        <v>178.97902999999999</v>
      </c>
      <c r="G29" s="130">
        <f>48719.62864-F58</f>
        <v>46715.628640000003</v>
      </c>
      <c r="H29" s="130">
        <f t="shared" si="3"/>
        <v>5377.3713599999974</v>
      </c>
      <c r="I29" s="130">
        <f>52451.32741-H58</f>
        <v>50104.327409999998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79.59171</f>
        <v>79.591710000000006</v>
      </c>
      <c r="G30" s="130">
        <f>45989.22913-F59</f>
        <v>44266.22913</v>
      </c>
      <c r="H30" s="130">
        <f t="shared" si="3"/>
        <v>6469.7708700000003</v>
      </c>
      <c r="I30" s="130">
        <f>47425.350129-H59</f>
        <v>43937.350128999999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112.1464</f>
        <v>112.1464</v>
      </c>
      <c r="G31" s="130">
        <f>33914.52368-F60</f>
        <v>32923.523679999998</v>
      </c>
      <c r="H31" s="130">
        <f t="shared" si="3"/>
        <v>271.47632000000158</v>
      </c>
      <c r="I31" s="130">
        <f>38266.624712-H60</f>
        <v>36545.624711999997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211</v>
      </c>
      <c r="G32" s="130">
        <f>F56</f>
        <v>5418</v>
      </c>
      <c r="H32" s="130">
        <f t="shared" si="3"/>
        <v>6882</v>
      </c>
      <c r="I32" s="130">
        <f>H56</f>
        <v>8966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184.96286</f>
        <v>184.96286000000001</v>
      </c>
      <c r="G33" s="136">
        <f>18843.13398</f>
        <v>18843.133979999999</v>
      </c>
      <c r="H33" s="136">
        <f t="shared" si="3"/>
        <v>12891.866020000001</v>
      </c>
      <c r="I33" s="136">
        <f>19850.4353899999</f>
        <v>19850.435389999999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51.943930000000002</v>
      </c>
      <c r="G34" s="136">
        <f>G35+G36</f>
        <v>20865.779070000001</v>
      </c>
      <c r="H34" s="136">
        <f t="shared" si="3"/>
        <v>6493.2209299999995</v>
      </c>
      <c r="I34" s="136">
        <f>I35+I36</f>
        <v>18146.571530000001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30.94393</f>
        <v>30.943930000000002</v>
      </c>
      <c r="G35" s="292">
        <f>22540.77907-F61-F62</f>
        <v>20255.779070000001</v>
      </c>
      <c r="H35" s="130">
        <f t="shared" si="3"/>
        <v>5603.2209299999995</v>
      </c>
      <c r="I35" s="130">
        <f>21229.57153-H61-H62</f>
        <v>17020.571530000001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21</v>
      </c>
      <c r="G36" s="74">
        <f>F61</f>
        <v>610</v>
      </c>
      <c r="H36" s="74">
        <f t="shared" si="3"/>
        <v>890</v>
      </c>
      <c r="I36" s="74">
        <f>H61</f>
        <v>1126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2.0715</f>
        <v>2.0714999999999999</v>
      </c>
      <c r="G38" s="102">
        <f>460.91773</f>
        <v>460.91773000000001</v>
      </c>
      <c r="H38" s="102">
        <f t="shared" si="3"/>
        <v>510.08226999999999</v>
      </c>
      <c r="I38" s="102">
        <f>484.9847</f>
        <v>484.98469999999998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4</v>
      </c>
      <c r="G39" s="102">
        <f>F62</f>
        <v>1675</v>
      </c>
      <c r="H39" s="102">
        <f t="shared" si="3"/>
        <v>2152</v>
      </c>
      <c r="I39" s="102">
        <f>H62</f>
        <v>3083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2.35085</f>
        <v>2.3508499999999999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1959.1877</f>
        <v>1959.1876999999999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1206.10285</v>
      </c>
      <c r="G45" s="80">
        <f t="shared" si="4"/>
        <v>295257.71249000006</v>
      </c>
      <c r="H45" s="80">
        <f t="shared" si="4"/>
        <v>90022.225509999975</v>
      </c>
      <c r="I45" s="80">
        <f t="shared" si="4"/>
        <v>301694.97400999995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3" t="s">
        <v>49</v>
      </c>
      <c r="D53" s="303"/>
      <c r="E53" s="303"/>
      <c r="F53" s="303"/>
      <c r="G53" s="303"/>
      <c r="H53" s="303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thickBot="1" x14ac:dyDescent="0.3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4">
        <v>12300</v>
      </c>
      <c r="E56" s="11">
        <f>E57+E58+E59+E60</f>
        <v>211</v>
      </c>
      <c r="F56" s="11">
        <f>F57+F58+F59+F60</f>
        <v>5418</v>
      </c>
      <c r="G56" s="304">
        <f>D56-F56</f>
        <v>6882</v>
      </c>
      <c r="H56" s="11">
        <f>H60+H59+H58+H57</f>
        <v>8966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5"/>
      <c r="E57" s="130">
        <v>44</v>
      </c>
      <c r="F57" s="130">
        <v>700</v>
      </c>
      <c r="G57" s="305"/>
      <c r="H57" s="130">
        <v>1410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5"/>
      <c r="E58" s="130">
        <v>69</v>
      </c>
      <c r="F58" s="130">
        <v>2004</v>
      </c>
      <c r="G58" s="305"/>
      <c r="H58" s="130">
        <v>2347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5"/>
      <c r="E59" s="130">
        <v>62</v>
      </c>
      <c r="F59" s="130">
        <v>1723</v>
      </c>
      <c r="G59" s="305"/>
      <c r="H59" s="130">
        <v>3488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306"/>
      <c r="E60" s="196">
        <v>36</v>
      </c>
      <c r="F60" s="196">
        <v>991</v>
      </c>
      <c r="G60" s="306"/>
      <c r="H60" s="196">
        <v>1721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21</v>
      </c>
      <c r="F61" s="98">
        <v>610</v>
      </c>
      <c r="G61" s="98">
        <f>D61-F61</f>
        <v>890</v>
      </c>
      <c r="H61" s="98">
        <v>1126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4</v>
      </c>
      <c r="F62" s="143">
        <v>1675</v>
      </c>
      <c r="G62" s="143">
        <f>D62-F62</f>
        <v>2152</v>
      </c>
      <c r="H62" s="143">
        <v>3083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301" t="s">
        <v>2</v>
      </c>
      <c r="D106" s="302"/>
      <c r="E106" s="301" t="s">
        <v>3</v>
      </c>
      <c r="F106" s="307"/>
      <c r="G106" s="301" t="s">
        <v>4</v>
      </c>
      <c r="H106" s="302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12.7232</v>
      </c>
      <c r="G117" s="11">
        <f t="shared" si="5"/>
        <v>36440.954359999996</v>
      </c>
      <c r="H117" s="11">
        <f t="shared" si="5"/>
        <v>-3754.954359999997</v>
      </c>
      <c r="I117" s="11">
        <f t="shared" si="5"/>
        <v>43568.263909999994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9.7356</f>
        <v>9.7355999999999998</v>
      </c>
      <c r="G118" s="23">
        <f>35704.7208899999</f>
        <v>35704.720889999997</v>
      </c>
      <c r="H118" s="23">
        <f>E118-G118</f>
        <v>-3801.7208899999969</v>
      </c>
      <c r="I118" s="23">
        <f>42806.48817</f>
        <v>42806.488169999997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2.9876</f>
        <v>2.9876</v>
      </c>
      <c r="G119" s="52">
        <f>736.23347</f>
        <v>736.23347000000001</v>
      </c>
      <c r="H119" s="52">
        <f>E119-G119</f>
        <v>46.766529999999989</v>
      </c>
      <c r="I119" s="52">
        <f>761.77574</f>
        <v>761.77574000000004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671.38994000000002</v>
      </c>
      <c r="G120" s="11">
        <f t="shared" si="6"/>
        <v>34152.039929999999</v>
      </c>
      <c r="H120" s="11">
        <f t="shared" si="6"/>
        <v>34057.960070000001</v>
      </c>
      <c r="I120" s="11">
        <f t="shared" si="6"/>
        <v>37225.450270000001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532.61669000000006</v>
      </c>
      <c r="G121" s="136">
        <f t="shared" si="7"/>
        <v>26515.925520000001</v>
      </c>
      <c r="H121" s="136">
        <f t="shared" si="7"/>
        <v>24493.074479999999</v>
      </c>
      <c r="I121" s="136">
        <f t="shared" si="7"/>
        <v>29913.369890000002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77.92816</f>
        <v>77.928160000000005</v>
      </c>
      <c r="G122" s="130">
        <f>3058.62055</f>
        <v>3058.6205500000001</v>
      </c>
      <c r="H122" s="130">
        <f t="shared" ref="H122:H129" si="8">E122-G122</f>
        <v>10599.37945</v>
      </c>
      <c r="I122" s="130">
        <f>3695.9911</f>
        <v>3695.9911000000002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120.88776</f>
        <v>120.88776</v>
      </c>
      <c r="G123" s="130">
        <f>9252.50749</f>
        <v>9252.50749</v>
      </c>
      <c r="H123" s="130">
        <f t="shared" si="8"/>
        <v>5287.49251</v>
      </c>
      <c r="I123" s="130">
        <f>9660.52165</f>
        <v>9660.5216500000006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225.64165</f>
        <v>225.64165</v>
      </c>
      <c r="G124" s="130">
        <f>7288.26052</f>
        <v>7288.2605199999998</v>
      </c>
      <c r="H124" s="130">
        <f t="shared" si="8"/>
        <v>6509.7394800000002</v>
      </c>
      <c r="I124" s="130">
        <f>10593.41446</f>
        <v>10593.41446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108.15912</f>
        <v>108.15912</v>
      </c>
      <c r="G125" s="130">
        <f>6916.53696</f>
        <v>6916.5369600000004</v>
      </c>
      <c r="H125" s="130">
        <f t="shared" si="8"/>
        <v>2096.4630399999996</v>
      </c>
      <c r="I125" s="130">
        <f>5963.44268</f>
        <v>5963.4426800000001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100.7762</f>
        <v>100.7762</v>
      </c>
      <c r="G126" s="136">
        <f>5991.91046</f>
        <v>5991.9104600000001</v>
      </c>
      <c r="H126" s="136">
        <f t="shared" si="8"/>
        <v>5916.0895399999999</v>
      </c>
      <c r="I126" s="136">
        <f>5941.88878</f>
        <v>5941.8887800000002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37.99705</f>
        <v>37.997050000000002</v>
      </c>
      <c r="G127" s="78">
        <f>1644.20395</f>
        <v>1644.2039500000001</v>
      </c>
      <c r="H127" s="78">
        <f t="shared" si="8"/>
        <v>3648.7960499999999</v>
      </c>
      <c r="I127" s="78">
        <f>1370.1916</f>
        <v>1370.1916000000001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</f>
        <v>0</v>
      </c>
      <c r="G128" s="102">
        <f>22.06678</f>
        <v>22.066780000000001</v>
      </c>
      <c r="H128" s="102">
        <f t="shared" si="8"/>
        <v>367.93322000000001</v>
      </c>
      <c r="I128" s="102">
        <f>35.19267</f>
        <v>35.19267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0.55132</f>
        <v>0.55132000000000003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684.66446000000008</v>
      </c>
      <c r="G133" s="80">
        <f t="shared" si="9"/>
        <v>70923.828869999983</v>
      </c>
      <c r="H133" s="80">
        <f>H117+H120+H128+H129+H130+H131+H132</f>
        <v>30712.171130000017</v>
      </c>
      <c r="I133" s="80">
        <f>I117+I120+I128+I129+I130+I131+I132</f>
        <v>81273.550829999993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294" t="s">
        <v>149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569.52315999999996</v>
      </c>
      <c r="G154" s="11">
        <f t="shared" si="10"/>
        <v>48276.264729999995</v>
      </c>
      <c r="H154" s="11">
        <f t="shared" si="10"/>
        <v>13906.735270000001</v>
      </c>
      <c r="I154" s="11">
        <f t="shared" si="10"/>
        <v>48938.246829999996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228.52126</f>
        <v>228.52126000000001</v>
      </c>
      <c r="G155" s="23">
        <f>40921.63802</f>
        <v>40921.638019999999</v>
      </c>
      <c r="H155" s="23">
        <f>E155-G155</f>
        <v>8743.3619800000015</v>
      </c>
      <c r="I155" s="23">
        <f>43567.68764</f>
        <v>43567.687639999996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341.0019</f>
        <v>341.00189999999998</v>
      </c>
      <c r="G156" s="23">
        <f>7354.62671</f>
        <v>7354.6267099999995</v>
      </c>
      <c r="H156" s="23">
        <f>E156-G156</f>
        <v>4663.3732900000005</v>
      </c>
      <c r="I156" s="23">
        <f>5370.55919</f>
        <v>5370.5591899999999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1396.699</f>
        <v>1396.6990000000001</v>
      </c>
      <c r="G158" s="98">
        <f>39482.34548+5792.82</f>
        <v>45275.165480000003</v>
      </c>
      <c r="H158" s="98">
        <f>E158-G158</f>
        <v>3731.8345199999967</v>
      </c>
      <c r="I158" s="98">
        <f>29494.43907</f>
        <v>29494.43907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1148.3115399999999</v>
      </c>
      <c r="G159" s="97">
        <v>53312.810499999992</v>
      </c>
      <c r="H159" s="97">
        <f>H160+H165+H168</f>
        <v>16461.189500000004</v>
      </c>
      <c r="I159" s="97">
        <f>I160+I165+I168</f>
        <v>54067.28183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915.52887999999996</v>
      </c>
      <c r="G160" s="128">
        <f>G161+G162+G164+G163</f>
        <v>40724.406079999993</v>
      </c>
      <c r="H160" s="128">
        <f>H161+H162+H163+H164</f>
        <v>11260.593920000003</v>
      </c>
      <c r="I160" s="128">
        <f>I161+I162+I163+I164</f>
        <v>41962.612820000002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225.99604</f>
        <v>225.99603999999999</v>
      </c>
      <c r="G161" s="130">
        <v>7634.8666599999997</v>
      </c>
      <c r="H161" s="130">
        <f>E161-G161</f>
        <v>7672.1333400000003</v>
      </c>
      <c r="I161" s="130">
        <f>8170.41688</f>
        <v>8170.4168799999998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142.38612</f>
        <v>142.38612000000001</v>
      </c>
      <c r="G162" s="130">
        <v>11414.777629999999</v>
      </c>
      <c r="H162" s="130">
        <f>E162-G162</f>
        <v>1444.2223700000013</v>
      </c>
      <c r="I162" s="130">
        <f>10105.71545</f>
        <v>10105.71545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234.78712</f>
        <v>234.78711999999999</v>
      </c>
      <c r="G163" s="130">
        <v>10949.092369999998</v>
      </c>
      <c r="H163" s="130">
        <f>E163-G163</f>
        <v>2745.9076300000015</v>
      </c>
      <c r="I163" s="130">
        <f>11228.85271</f>
        <v>11228.852709999999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312.3596</f>
        <v>312.3596</v>
      </c>
      <c r="G164" s="130">
        <v>10725.66942</v>
      </c>
      <c r="H164" s="130">
        <f>E164-G164</f>
        <v>-601.66942000000017</v>
      </c>
      <c r="I164" s="130">
        <f>12457.62778</f>
        <v>12457.627780000001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1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1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222.87501</f>
        <v>222.87501</v>
      </c>
      <c r="G168" s="78">
        <f>6579.79239</f>
        <v>6579.7923899999996</v>
      </c>
      <c r="H168" s="78">
        <f t="shared" si="11"/>
        <v>2955.2076100000004</v>
      </c>
      <c r="I168" s="78">
        <f>6725.51782</f>
        <v>6725.51782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1.05165</f>
        <v>1.05165</v>
      </c>
      <c r="G169" s="143">
        <f>24.47327</f>
        <v>24.473269999999999</v>
      </c>
      <c r="H169" s="143">
        <f t="shared" si="11"/>
        <v>117.52673</v>
      </c>
      <c r="I169" s="143">
        <f>20.98336</f>
        <v>20.983360000000001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1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6.36148</f>
        <v>6.3614800000000002</v>
      </c>
      <c r="G171" s="143">
        <v>2000</v>
      </c>
      <c r="H171" s="143">
        <f t="shared" si="11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1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1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1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2">D154+D158+D159+D169+D170+D171+D172+D173+D174</f>
        <v>182657</v>
      </c>
      <c r="E176" s="80">
        <f t="shared" si="12"/>
        <v>183413</v>
      </c>
      <c r="F176" s="80">
        <f>F154+F158+F159+F169+F170+F171+F172+F173+F174</f>
        <v>3122.8288299999995</v>
      </c>
      <c r="G176" s="80">
        <f>G154+G158+G159+G169+G170+G171+G172+G173+G174</f>
        <v>149623.51677999995</v>
      </c>
      <c r="H176" s="80">
        <f>H154+H158+H159+H169+H170+H171+H172+H173+H174</f>
        <v>33789.483220000016</v>
      </c>
      <c r="I176" s="80">
        <f>I154+I158+I159+I169+I170+I171+I172+I173+I174</f>
        <v>135206.74279000002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294" t="s">
        <v>148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293" t="s">
        <v>147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20.93568</f>
        <v>20.935680000000001</v>
      </c>
      <c r="F201" s="276">
        <f>1784.82858</f>
        <v>1784.8285800000001</v>
      </c>
      <c r="G201" s="45">
        <f>D201-F201-F202</f>
        <v>1841.7128299999997</v>
      </c>
      <c r="H201" s="276">
        <f>1507.41383</f>
        <v>1507.41383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35.21598</f>
        <v>35.215980000000002</v>
      </c>
      <c r="F202" s="156">
        <f>1455.45859</f>
        <v>1455.45859</v>
      </c>
      <c r="G202" s="217"/>
      <c r="H202" s="156">
        <f>1754.6995</f>
        <v>1754.6994999999999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0.25956</f>
        <v>0.25956000000000001</v>
      </c>
      <c r="F203" s="176">
        <f>50.58874</f>
        <v>50.588740000000001</v>
      </c>
      <c r="G203" s="176">
        <f>D203-F203</f>
        <v>149.41126</v>
      </c>
      <c r="H203" s="176">
        <f>67.35259</f>
        <v>67.352590000000006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24.359960000000001</v>
      </c>
      <c r="F204" s="185">
        <f>F205+F206+F207</f>
        <v>7644.4543200000007</v>
      </c>
      <c r="G204" s="185">
        <f>D204-F204</f>
        <v>-22.454320000000735</v>
      </c>
      <c r="H204" s="185">
        <f>H205+H206+H207</f>
        <v>7963.1809999999996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0.72328</f>
        <v>0.72328000000000003</v>
      </c>
      <c r="F205" s="130">
        <f>3938.34262</f>
        <v>3938.3426199999999</v>
      </c>
      <c r="G205" s="130"/>
      <c r="H205" s="130">
        <f>4056.65218</f>
        <v>4056.65218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6.4995</f>
        <v>6.4995000000000003</v>
      </c>
      <c r="F206" s="130">
        <f>2418.91658</f>
        <v>2418.9165800000001</v>
      </c>
      <c r="G206" s="130"/>
      <c r="H206" s="130">
        <f>2437.15961</f>
        <v>2437.1596100000002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17.13718</f>
        <v>17.137180000000001</v>
      </c>
      <c r="F207" s="196">
        <f>1287.19512</f>
        <v>1287.1951200000001</v>
      </c>
      <c r="G207" s="196"/>
      <c r="H207" s="196">
        <f>1469.36921</f>
        <v>1469.3692100000001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80.771180000000015</v>
      </c>
      <c r="F210" s="198">
        <f>F201+F202+F203+F204+F208+F209</f>
        <v>10935.330230000001</v>
      </c>
      <c r="G210" s="198">
        <f>D210-F210</f>
        <v>2039.6697699999986</v>
      </c>
      <c r="H210" s="198">
        <f>H201+H202+H203+H204+H208+H209</f>
        <v>11293.276119999999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0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243.3913</f>
        <v>243.3913</v>
      </c>
      <c r="F230" s="124">
        <f>35292.50165</f>
        <v>35292.501649999998</v>
      </c>
      <c r="G230" s="124">
        <f>D230-F230</f>
        <v>8846.4983500000017</v>
      </c>
      <c r="H230" s="124">
        <f>42413.38826</f>
        <v>42413.38826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2.1655</f>
        <v>2.1655000000000002</v>
      </c>
      <c r="F231" s="124">
        <f>57.37831</f>
        <v>57.378309999999999</v>
      </c>
      <c r="G231" s="124">
        <f>D231-F231</f>
        <v>42.621690000000001</v>
      </c>
      <c r="H231" s="124">
        <f>29.36475</f>
        <v>29.364750000000001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245.55680000000001</v>
      </c>
      <c r="F233" s="190">
        <f>SUM(F230:F232)</f>
        <v>35349.879959999998</v>
      </c>
      <c r="G233" s="190">
        <f>D233-F233</f>
        <v>8941.1200400000016</v>
      </c>
      <c r="H233" s="190">
        <f>SUM(H230:H232)</f>
        <v>42442.75301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4.63002</f>
        <v>4.63002</v>
      </c>
      <c r="F284" s="124">
        <f>288.69636</f>
        <v>288.69636000000003</v>
      </c>
      <c r="G284" s="45">
        <f>D284-F284-F285</f>
        <v>64.158790000000181</v>
      </c>
      <c r="H284" s="124">
        <f>447.4139</f>
        <v>447.41390000000001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41.46861</f>
        <v>41.468609999999998</v>
      </c>
      <c r="F285" s="124">
        <f>1512.14485</f>
        <v>1512.1448499999999</v>
      </c>
      <c r="G285" s="140"/>
      <c r="H285" s="124">
        <f>916.07002</f>
        <v>916.07002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</f>
        <v>0</v>
      </c>
      <c r="F286" s="168">
        <f>0.9582</f>
        <v>0.95820000000000005</v>
      </c>
      <c r="G286" s="124">
        <f>D286-F286</f>
        <v>4.0418000000000003</v>
      </c>
      <c r="H286" s="168">
        <f>1.389</f>
        <v>1.389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0.0292</f>
        <v>2.92E-2</v>
      </c>
      <c r="F287" s="168">
        <f>6.81196</f>
        <v>6.81196</v>
      </c>
      <c r="G287" s="124"/>
      <c r="H287" s="168">
        <f>2.8077</f>
        <v>2.8077000000000001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46.127830000000003</v>
      </c>
      <c r="F288" s="190">
        <f>SUM(F284:F287)</f>
        <v>1808.6113700000001</v>
      </c>
      <c r="G288" s="190">
        <f>D288-F288</f>
        <v>61.388629999999921</v>
      </c>
      <c r="H288" s="190">
        <f>H284+H285+H286+H287</f>
        <v>1367.6806200000001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0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3">D318+D317+D316+D315</f>
        <v>9109</v>
      </c>
      <c r="E314" s="251">
        <f t="shared" si="13"/>
        <v>12104</v>
      </c>
      <c r="F314" s="253">
        <f t="shared" si="13"/>
        <v>81.483100000000007</v>
      </c>
      <c r="G314" s="253">
        <f t="shared" si="13"/>
        <v>6238.9716600000002</v>
      </c>
      <c r="H314" s="253">
        <f>H318+H317+H316+H315</f>
        <v>5865.0283399999998</v>
      </c>
      <c r="I314" s="253">
        <f t="shared" si="13"/>
        <v>12084.343410000001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29.6703</f>
        <v>29.670300000000001</v>
      </c>
      <c r="G315" s="257">
        <f>3647.88627</f>
        <v>3647.88627</v>
      </c>
      <c r="H315" s="257">
        <f t="shared" ref="H315:H319" si="14">E315-G315</f>
        <v>1610.11373</v>
      </c>
      <c r="I315" s="257">
        <f>7437.04877</f>
        <v>7437.0487700000003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479.0124</f>
        <v>479.01240000000001</v>
      </c>
      <c r="H316" s="257">
        <f t="shared" si="14"/>
        <v>889.98759999999993</v>
      </c>
      <c r="I316" s="257">
        <f>1022.5022</f>
        <v>1022.5022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41.1696</f>
        <v>41.169600000000003</v>
      </c>
      <c r="G317" s="257">
        <f>1317.06139</f>
        <v>1317.0613900000001</v>
      </c>
      <c r="H317" s="257">
        <f t="shared" si="14"/>
        <v>-34.061390000000074</v>
      </c>
      <c r="I317" s="257">
        <f>1338.00239</f>
        <v>1338.0023900000001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10.6432</f>
        <v>10.6432</v>
      </c>
      <c r="G318" s="257">
        <f>795.0116</f>
        <v>795.01160000000004</v>
      </c>
      <c r="H318" s="257">
        <f t="shared" si="14"/>
        <v>3398.9884000000002</v>
      </c>
      <c r="I318" s="257">
        <f>2286.79005</f>
        <v>2286.7900500000001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0.511</f>
        <v>0.51100000000000001</v>
      </c>
      <c r="G319" s="268">
        <f>4547.81168</f>
        <v>4547.8116799999998</v>
      </c>
      <c r="H319" s="268">
        <f t="shared" si="14"/>
        <v>952.1883200000002</v>
      </c>
      <c r="I319" s="268">
        <f>2197.27413</f>
        <v>2197.2741299999998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257.12680999999998</v>
      </c>
      <c r="G320" s="269">
        <f>G322+G321</f>
        <v>3769.3469100000002</v>
      </c>
      <c r="H320" s="269">
        <f>E320-G320</f>
        <v>4230.6530899999998</v>
      </c>
      <c r="I320" s="269">
        <f>I322+I321</f>
        <v>2739.0335699999996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0</f>
        <v>0</v>
      </c>
      <c r="G321" s="257">
        <f>1144.54655</f>
        <v>1144.54655</v>
      </c>
      <c r="H321" s="257"/>
      <c r="I321" s="257">
        <f>12.45243</f>
        <v>12.45243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257.12681</f>
        <v>257.12680999999998</v>
      </c>
      <c r="G322" s="278">
        <f>2624.80036</f>
        <v>2624.8003600000002</v>
      </c>
      <c r="H322" s="278"/>
      <c r="I322" s="278">
        <f>2726.58114</f>
        <v>2726.5811399999998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</f>
        <v>0</v>
      </c>
      <c r="G323" s="268">
        <f>0.39555</f>
        <v>0.39555000000000001</v>
      </c>
      <c r="H323" s="268">
        <f>E323-G323</f>
        <v>9.6044499999999999</v>
      </c>
      <c r="I323" s="268">
        <f>0.3915</f>
        <v>0.39150000000000001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0.18751</f>
        <v>0.18751000000000001</v>
      </c>
      <c r="G324" s="268">
        <f>235.24816</f>
        <v>235.24816000000001</v>
      </c>
      <c r="H324" s="268">
        <f>E324-G324</f>
        <v>-235.24816000000001</v>
      </c>
      <c r="I324" s="268">
        <f>30.71728</f>
        <v>30.717279999999999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5">F314+F319+F320+F323+F324</f>
        <v>339.30841999999996</v>
      </c>
      <c r="G325" s="287">
        <f t="shared" si="15"/>
        <v>14791.773959999999</v>
      </c>
      <c r="H325" s="287">
        <f>H314+H319+H320+H323+H324</f>
        <v>10822.226040000001</v>
      </c>
      <c r="I325" s="287">
        <f t="shared" si="15"/>
        <v>17051.759890000001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80.881920000000008</v>
      </c>
      <c r="F353" s="36">
        <f>SUM(F354:F355)</f>
        <v>311.53771999999998</v>
      </c>
      <c r="G353" s="88">
        <f>D353-F353</f>
        <v>1248.46228</v>
      </c>
      <c r="H353" s="36">
        <f>SUM(H354:H355)</f>
        <v>250.84480000000002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59.7915</f>
        <v>59.791499999999999</v>
      </c>
      <c r="F354" s="30">
        <f>246.82198</f>
        <v>246.82198</v>
      </c>
      <c r="G354" s="100"/>
      <c r="H354" s="30">
        <f>212.5815</f>
        <v>212.58150000000001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21.09042</f>
        <v>21.090420000000002</v>
      </c>
      <c r="F355" s="30">
        <f>64.71574</f>
        <v>64.715739999999997</v>
      </c>
      <c r="G355" s="111"/>
      <c r="H355" s="30">
        <f>38.2633</f>
        <v>38.263300000000001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80.881920000000008</v>
      </c>
      <c r="F357" s="42">
        <f>F347+F350+F353+F356</f>
        <v>3508.6669199999997</v>
      </c>
      <c r="G357" s="43">
        <f>SUM(G347:G356)</f>
        <v>997.33308000000011</v>
      </c>
      <c r="H357" s="42">
        <f>H347+H350+H353+H356</f>
        <v>3363.7367599999998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2022-09-28T13:06:14Z</dcterms:modified>
</cp:coreProperties>
</file>