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CEE245B6-C33C-48A8-8584-52B6699BC5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55" i="1"/>
  <c r="D423" i="1"/>
  <c r="H422" i="1"/>
  <c r="F422" i="1"/>
  <c r="G422" i="1" s="1"/>
  <c r="E422" i="1"/>
  <c r="H421" i="1"/>
  <c r="F421" i="1"/>
  <c r="E421" i="1"/>
  <c r="H420" i="1"/>
  <c r="H419" i="1" s="1"/>
  <c r="F420" i="1"/>
  <c r="F419" i="1" s="1"/>
  <c r="G419" i="1" s="1"/>
  <c r="E420" i="1"/>
  <c r="E419" i="1"/>
  <c r="H418" i="1"/>
  <c r="F418" i="1"/>
  <c r="E418" i="1"/>
  <c r="E416" i="1" s="1"/>
  <c r="H417" i="1"/>
  <c r="F417" i="1"/>
  <c r="F416" i="1" s="1"/>
  <c r="G416" i="1" s="1"/>
  <c r="E417" i="1"/>
  <c r="H416" i="1"/>
  <c r="H415" i="1"/>
  <c r="H413" i="1" s="1"/>
  <c r="F415" i="1"/>
  <c r="E415" i="1"/>
  <c r="H414" i="1"/>
  <c r="F414" i="1"/>
  <c r="E414" i="1"/>
  <c r="E413" i="1" s="1"/>
  <c r="E423" i="1" s="1"/>
  <c r="F413" i="1"/>
  <c r="D391" i="1"/>
  <c r="I390" i="1"/>
  <c r="H390" i="1"/>
  <c r="G390" i="1"/>
  <c r="F390" i="1"/>
  <c r="I389" i="1"/>
  <c r="G389" i="1"/>
  <c r="H389" i="1" s="1"/>
  <c r="F389" i="1"/>
  <c r="I388" i="1"/>
  <c r="G388" i="1"/>
  <c r="G386" i="1" s="1"/>
  <c r="H386" i="1" s="1"/>
  <c r="F388" i="1"/>
  <c r="I387" i="1"/>
  <c r="G387" i="1"/>
  <c r="F387" i="1"/>
  <c r="I386" i="1"/>
  <c r="F386" i="1"/>
  <c r="I385" i="1"/>
  <c r="H385" i="1"/>
  <c r="G385" i="1"/>
  <c r="F385" i="1"/>
  <c r="I384" i="1"/>
  <c r="G384" i="1"/>
  <c r="H384" i="1" s="1"/>
  <c r="F384" i="1"/>
  <c r="F380" i="1" s="1"/>
  <c r="F391" i="1" s="1"/>
  <c r="I383" i="1"/>
  <c r="H383" i="1"/>
  <c r="G383" i="1"/>
  <c r="F383" i="1"/>
  <c r="I382" i="1"/>
  <c r="G382" i="1"/>
  <c r="H382" i="1" s="1"/>
  <c r="F382" i="1"/>
  <c r="I381" i="1"/>
  <c r="H381" i="1"/>
  <c r="G381" i="1"/>
  <c r="F381" i="1"/>
  <c r="I380" i="1"/>
  <c r="I391" i="1" s="1"/>
  <c r="G380" i="1"/>
  <c r="D380" i="1"/>
  <c r="H372" i="1"/>
  <c r="F372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H354" i="1" s="1"/>
  <c r="F350" i="1"/>
  <c r="F354" i="1" s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 s="1"/>
  <c r="E299" i="1" s="1"/>
  <c r="H253" i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07" i="1"/>
  <c r="D207" i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E178" i="1" s="1"/>
  <c r="H180" i="1"/>
  <c r="F180" i="1"/>
  <c r="E180" i="1"/>
  <c r="H179" i="1"/>
  <c r="F179" i="1"/>
  <c r="F178" i="1" s="1"/>
  <c r="G178" i="1" s="1"/>
  <c r="E179" i="1"/>
  <c r="H178" i="1"/>
  <c r="H177" i="1"/>
  <c r="F177" i="1"/>
  <c r="G177" i="1" s="1"/>
  <c r="E177" i="1"/>
  <c r="H176" i="1"/>
  <c r="F176" i="1"/>
  <c r="E176" i="1"/>
  <c r="H175" i="1"/>
  <c r="H184" i="1" s="1"/>
  <c r="F175" i="1"/>
  <c r="F184" i="1" s="1"/>
  <c r="E175" i="1"/>
  <c r="E184" i="1" s="1"/>
  <c r="D167" i="1"/>
  <c r="D169" i="1" s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H140" i="1" s="1"/>
  <c r="H139" i="1" s="1"/>
  <c r="F140" i="1"/>
  <c r="I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F134" i="1" s="1"/>
  <c r="F133" i="1" s="1"/>
  <c r="I135" i="1"/>
  <c r="H135" i="1"/>
  <c r="F135" i="1"/>
  <c r="I134" i="1"/>
  <c r="I133" i="1" s="1"/>
  <c r="E134" i="1"/>
  <c r="D134" i="1"/>
  <c r="E133" i="1"/>
  <c r="D133" i="1"/>
  <c r="D150" i="1" s="1"/>
  <c r="I132" i="1"/>
  <c r="F132" i="1"/>
  <c r="I131" i="1"/>
  <c r="G131" i="1"/>
  <c r="H131" i="1" s="1"/>
  <c r="F131" i="1"/>
  <c r="I130" i="1"/>
  <c r="H130" i="1"/>
  <c r="G130" i="1"/>
  <c r="F130" i="1"/>
  <c r="I129" i="1"/>
  <c r="I128" i="1" s="1"/>
  <c r="I150" i="1" s="1"/>
  <c r="G129" i="1"/>
  <c r="G128" i="1" s="1"/>
  <c r="F129" i="1"/>
  <c r="F128" i="1" s="1"/>
  <c r="E128" i="1"/>
  <c r="E150" i="1" s="1"/>
  <c r="D128" i="1"/>
  <c r="C126" i="1"/>
  <c r="D107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G96" i="1" s="1"/>
  <c r="G95" i="1" s="1"/>
  <c r="F98" i="1"/>
  <c r="I97" i="1"/>
  <c r="I96" i="1" s="1"/>
  <c r="I95" i="1" s="1"/>
  <c r="I107" i="1" s="1"/>
  <c r="G97" i="1"/>
  <c r="H97" i="1" s="1"/>
  <c r="F97" i="1"/>
  <c r="F96" i="1" s="1"/>
  <c r="F95" i="1" s="1"/>
  <c r="E96" i="1"/>
  <c r="D96" i="1"/>
  <c r="E95" i="1"/>
  <c r="E107" i="1" s="1"/>
  <c r="D95" i="1"/>
  <c r="I94" i="1"/>
  <c r="G94" i="1"/>
  <c r="H94" i="1" s="1"/>
  <c r="F94" i="1"/>
  <c r="F92" i="1" s="1"/>
  <c r="F107" i="1" s="1"/>
  <c r="I93" i="1"/>
  <c r="G93" i="1"/>
  <c r="G92" i="1" s="1"/>
  <c r="F93" i="1"/>
  <c r="I92" i="1"/>
  <c r="E92" i="1"/>
  <c r="D92" i="1"/>
  <c r="C89" i="1"/>
  <c r="H85" i="1"/>
  <c r="F85" i="1"/>
  <c r="D85" i="1"/>
  <c r="H61" i="1"/>
  <c r="H60" i="1"/>
  <c r="I35" i="1" s="1"/>
  <c r="I55" i="1"/>
  <c r="I32" i="1" s="1"/>
  <c r="I27" i="1" s="1"/>
  <c r="G55" i="1"/>
  <c r="F55" i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G35" i="1"/>
  <c r="G34" i="1" s="1"/>
  <c r="F35" i="1"/>
  <c r="E35" i="1"/>
  <c r="D34" i="1"/>
  <c r="I33" i="1"/>
  <c r="H33" i="1"/>
  <c r="G33" i="1"/>
  <c r="F33" i="1"/>
  <c r="F32" i="1"/>
  <c r="F27" i="1" s="1"/>
  <c r="I31" i="1"/>
  <c r="H31" i="1"/>
  <c r="G31" i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E27" i="1"/>
  <c r="D27" i="1"/>
  <c r="D26" i="1" s="1"/>
  <c r="E26" i="1"/>
  <c r="I25" i="1"/>
  <c r="I23" i="1" s="1"/>
  <c r="G25" i="1"/>
  <c r="H25" i="1" s="1"/>
  <c r="H23" i="1" s="1"/>
  <c r="F25" i="1"/>
  <c r="I24" i="1"/>
  <c r="H24" i="1"/>
  <c r="G24" i="1"/>
  <c r="F24" i="1"/>
  <c r="F23" i="1" s="1"/>
  <c r="G23" i="1"/>
  <c r="E23" i="1"/>
  <c r="E44" i="1" s="1"/>
  <c r="D23" i="1"/>
  <c r="D44" i="1" s="1"/>
  <c r="H16" i="1"/>
  <c r="F16" i="1"/>
  <c r="D16" i="1"/>
  <c r="I34" i="1" l="1"/>
  <c r="I26" i="1" s="1"/>
  <c r="F34" i="1"/>
  <c r="F26" i="1" s="1"/>
  <c r="F44" i="1" s="1"/>
  <c r="F150" i="1"/>
  <c r="H380" i="1"/>
  <c r="H391" i="1" s="1"/>
  <c r="I44" i="1"/>
  <c r="F253" i="1"/>
  <c r="G253" i="1" s="1"/>
  <c r="G249" i="1"/>
  <c r="G391" i="1"/>
  <c r="G184" i="1"/>
  <c r="H423" i="1"/>
  <c r="H34" i="1"/>
  <c r="G107" i="1"/>
  <c r="H134" i="1"/>
  <c r="H133" i="1" s="1"/>
  <c r="F299" i="1"/>
  <c r="G295" i="1"/>
  <c r="G299" i="1"/>
  <c r="G354" i="1"/>
  <c r="F423" i="1"/>
  <c r="G423" i="1" s="1"/>
  <c r="G32" i="1"/>
  <c r="H32" i="1" s="1"/>
  <c r="H27" i="1" s="1"/>
  <c r="F207" i="1"/>
  <c r="G207" i="1" s="1"/>
  <c r="G139" i="1"/>
  <c r="H93" i="1"/>
  <c r="H92" i="1" s="1"/>
  <c r="H98" i="1"/>
  <c r="H96" i="1" s="1"/>
  <c r="H95" i="1" s="1"/>
  <c r="G134" i="1"/>
  <c r="G133" i="1" s="1"/>
  <c r="G150" i="1" s="1"/>
  <c r="G413" i="1"/>
  <c r="H35" i="1"/>
  <c r="H129" i="1"/>
  <c r="H128" i="1" s="1"/>
  <c r="G350" i="1"/>
  <c r="G175" i="1"/>
  <c r="H150" i="1" l="1"/>
  <c r="H107" i="1"/>
  <c r="G27" i="1"/>
  <c r="G26" i="1" s="1"/>
  <c r="G44" i="1" s="1"/>
  <c r="H26" i="1"/>
  <c r="H44" i="1" s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<sst xmlns="http://schemas.openxmlformats.org/spreadsheetml/2006/main" count="359" uniqueCount="151">
  <si>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</si>
  <si>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</si>
  <si>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</si>
  <si>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</si>
  <si>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</si>
  <si>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</si>
  <si>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</si>
  <si>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</si>
  <si>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</si>
  <si>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</si>
  <si>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</si>
  <si>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</si>
  <si>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</si>
  <si>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</si>
  <si>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</si>
  <si>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</si>
  <si>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</si>
  <si>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</si>
  <si>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</si>
  <si>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</si>
  <si>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</si>
  <si>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</si>
  <si>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</si>
  <si>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</si>
  <si>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</si>
  <si>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</si>
  <si>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</si>
  <si>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</si>
  <si>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</si>
  <si>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</si>
  <si>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</si>
  <si>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</si>
  <si>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</si>
  <si>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</si>
  <si>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</si>
  <si>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</si>
  <si>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</si>
  <si>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</si>
  <si>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</si>
  <si>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</si>
  <si>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</si>
  <si>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</si>
  <si>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</si>
  <si>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</si>
  <si>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</si>
  <si>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</si>
  <si>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</si>
  <si>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</si>
  <si>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</si>
  <si>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</si>
  <si>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</si>
  <si>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</si>
  <si>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</si>
  <si>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</si>
  <si>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</si>
  <si>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</si>
  <si>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</si>
  <si>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</si>
  <si>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</si>
  <si>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</si>
  <si>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</si>
  <si>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</si>
  <si>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</si>
  <si>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</si>
  <si>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</si>
  <si>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</si>
  <si>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</si>
  <si>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</si>
  <si>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</si>
  <si>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</si>
  <si>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</si>
  <si>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</si>
  <si>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</si>
  <si>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</si>
  <si>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</si>
  <si>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</si>
  <si>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</si>
  <si>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</si>
  <si>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</si>
  <si>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</si>
  <si>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</si>
  <si>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</si>
  <si>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</si>
  <si>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</si>
  <si>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</si>
  <si>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</si>
  <si>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</si>
  <si>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</si>
  <si>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</si>
  <si>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</si>
  <si>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</si>
  <si>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</si>
  <si>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</si>
  <si>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</si>
  <si>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</si>
  <si>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</si>
  <si>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</si>
  <si>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</si>
  <si>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</si>
  <si>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</si>
  <si>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</si>
  <si>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</si>
  <si>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</si>
  <si>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</si>
  <si>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</si>
  <si>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</si>
  <si>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</si>
  <si>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</si>
  <si>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</si>
  <si>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</si>
  <si>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</si>
  <si>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</si>
  <si>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</si>
  <si>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</si>
  <si>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</si>
  <si>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</si>
  <si>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</si>
  <si>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</si>
  <si>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</si>
  <si>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</si>
  <si>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</si>
  <si>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</si>
  <si>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</si>
  <si>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</si>
  <si>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</si>
  <si>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</si>
  <si>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</si>
  <si>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</si>
  <si>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</si>
  <si>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</si>
  <si>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</si>
  <si>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</si>
  <si>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</si>
  <si>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</si>
  <si>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</si>
  <si>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</si>
  <si>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</si>
  <si>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</si>
  <si>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</si>
  <si>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</si>
  <si>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</si>
  <si>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</si>
  <si>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</si>
  <si>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61 tonn, men det legges til grunn at hele avsetningen tas</t>
  </si>
  <si>
    <t>4 Registrert rekreasjonsfiske utgjør 503 tonn, men det legges til grunn at hele avsetningen tas</t>
  </si>
  <si>
    <t>3 Registrert rekreasjonsfiske utgjør 878 tonn, men det legges til grunn at hele avsetningen tas</t>
  </si>
  <si>
    <t>FANGST UKE 42</t>
  </si>
  <si>
    <t>FANGST T.O.M UKE 42</t>
  </si>
  <si>
    <t>RESTKVOTER UKE 42</t>
  </si>
  <si>
    <t>FANGST T.O.M UKE 42 2023</t>
  </si>
  <si>
    <r>
      <t>3</t>
    </r>
    <r>
      <rPr>
        <sz val="9"/>
        <color indexed="8"/>
        <rFont val="Calibri"/>
        <family val="2"/>
      </rPr>
      <t xml:space="preserve"> Det er fisket 6 860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</si>
</sst>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150" zoomScale="85" zoomScaleNormal="85" zoomScaleSheetLayoutView="100" zoomScalePageLayoutView="85" workbookViewId="0">
      <selection activeCell="G160" sqref="G160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3" t="s">
        <v>118</v>
      </c>
      <c r="C2" s="294"/>
      <c r="D2" s="294"/>
      <c r="E2" s="294"/>
      <c r="F2" s="294"/>
      <c r="G2" s="294"/>
      <c r="H2" s="294"/>
      <c r="I2" s="294"/>
      <c r="J2" s="29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292" t="s">
        <v>135</v>
      </c>
      <c r="D17" s="292"/>
      <c r="E17" s="292"/>
      <c r="F17" s="292"/>
      <c r="G17" s="292"/>
      <c r="H17" s="29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305.96100000000001</v>
      </c>
      <c r="G23" s="28">
        <f t="shared" si="0"/>
        <v>44814.999299999996</v>
      </c>
      <c r="H23" s="11">
        <f t="shared" si="0"/>
        <v>15997.000700000001</v>
      </c>
      <c r="I23" s="11">
        <f t="shared" si="0"/>
        <v>64140.653210000004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305.961</f>
        <v>305.96100000000001</v>
      </c>
      <c r="G24" s="23">
        <f>44285.14101</f>
        <v>44285.141009999999</v>
      </c>
      <c r="H24" s="23">
        <f>E24-G24</f>
        <v>15756.858990000001</v>
      </c>
      <c r="I24" s="23">
        <f>63649.99186</f>
        <v>63649.991860000002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529.85829</f>
        <v>529.85829000000001</v>
      </c>
      <c r="H25" s="23">
        <f>E25-G25</f>
        <v>240.14170999999999</v>
      </c>
      <c r="I25" s="23">
        <f>490.66135</f>
        <v>490.66135000000003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776.44983999999999</v>
      </c>
      <c r="G26" s="11">
        <f t="shared" si="1"/>
        <v>126470.50604000001</v>
      </c>
      <c r="H26" s="11">
        <f t="shared" si="1"/>
        <v>18403.49396</v>
      </c>
      <c r="I26" s="11">
        <f t="shared" si="1"/>
        <v>188709.09242999999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529.18214999999998</v>
      </c>
      <c r="G27" s="132">
        <f t="shared" ref="G27:I27" si="2">G28+G29+G30+G31+G32</f>
        <v>102868.55416</v>
      </c>
      <c r="H27" s="132">
        <f t="shared" si="2"/>
        <v>10109.44584</v>
      </c>
      <c r="I27" s="132">
        <f t="shared" si="2"/>
        <v>147151.64447999999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115.15883</f>
        <v>115.15882999999999</v>
      </c>
      <c r="G28" s="127">
        <f>26737.87393 - G56</f>
        <v>25864.873930000002</v>
      </c>
      <c r="H28" s="127">
        <f t="shared" ref="H28:H40" si="3">E28-G28</f>
        <v>2765.1260699999984</v>
      </c>
      <c r="I28" s="127">
        <f>37485.99125 - H56</f>
        <v>37485.991249999999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143.1459</f>
        <v>143.14590000000001</v>
      </c>
      <c r="G29" s="127">
        <f>29200.6626 - G57</f>
        <v>27986.6626</v>
      </c>
      <c r="H29" s="127">
        <f t="shared" si="3"/>
        <v>1678.3374000000003</v>
      </c>
      <c r="I29" s="127">
        <f>40310.66033 - H57</f>
        <v>40310.660329999999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16.44618</f>
        <v>16.446179999999998</v>
      </c>
      <c r="G30" s="127">
        <f>26850.93996 - G58</f>
        <v>25663.93996</v>
      </c>
      <c r="H30" s="127">
        <f t="shared" si="3"/>
        <v>1580.0600400000003</v>
      </c>
      <c r="I30" s="127">
        <f>37534.3423 - H58</f>
        <v>37534.342299999997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25.43124</f>
        <v>25.431239999999999</v>
      </c>
      <c r="G31" s="127">
        <f>20079.07767 - G59</f>
        <v>19008.077669999999</v>
      </c>
      <c r="H31" s="127">
        <f t="shared" si="3"/>
        <v>330.92233000000124</v>
      </c>
      <c r="I31" s="127">
        <f>25209.6506 - H59</f>
        <v>25209.650600000001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229</v>
      </c>
      <c r="G32" s="127">
        <f>G55</f>
        <v>4345</v>
      </c>
      <c r="H32" s="127">
        <f t="shared" si="3"/>
        <v>3755</v>
      </c>
      <c r="I32" s="127">
        <f>I55</f>
        <v>6611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118.60406</f>
        <v>118.60406</v>
      </c>
      <c r="G33" s="132">
        <f>11389.65686</f>
        <v>11389.656859999999</v>
      </c>
      <c r="H33" s="132">
        <f t="shared" si="3"/>
        <v>5469.3431400000009</v>
      </c>
      <c r="I33" s="132">
        <f>16645.55555</f>
        <v>16645.555550000001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128.66363000000001</v>
      </c>
      <c r="G34" s="132">
        <f>G35+G36</f>
        <v>12212.29502</v>
      </c>
      <c r="H34" s="132">
        <f t="shared" si="3"/>
        <v>2824.7049800000004</v>
      </c>
      <c r="I34" s="132">
        <f>I35+I36</f>
        <v>24911.892400000001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72.66363</f>
        <v>72.663629999999998</v>
      </c>
      <c r="G35" s="132">
        <f>15068.29502 - G60 - G61</f>
        <v>11651.29502</v>
      </c>
      <c r="H35" s="127">
        <f t="shared" si="3"/>
        <v>2425.7049800000004</v>
      </c>
      <c r="I35" s="127">
        <f>24810.8924 - H60 - H61</f>
        <v>24267.892400000001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56</v>
      </c>
      <c r="G36" s="71">
        <f>G60</f>
        <v>561</v>
      </c>
      <c r="H36" s="71">
        <f t="shared" si="3"/>
        <v>399</v>
      </c>
      <c r="I36" s="71">
        <f>I60</f>
        <v>644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0.6555</f>
        <v>0.65549999999999997</v>
      </c>
      <c r="G38" s="98">
        <f>489.91078</f>
        <v>489.91077999999999</v>
      </c>
      <c r="H38" s="98">
        <f t="shared" si="3"/>
        <v>365.08922000000001</v>
      </c>
      <c r="I38" s="98">
        <f>509.25862</f>
        <v>509.25862000000001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19</v>
      </c>
      <c r="G39" s="98">
        <f>G61</f>
        <v>2856</v>
      </c>
      <c r="H39" s="98">
        <f t="shared" si="3"/>
        <v>144</v>
      </c>
      <c r="I39" s="98">
        <f>I61</f>
        <v>4406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1.1434</f>
        <v>1.1434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2.74006</f>
        <v>2.7400600000000002</v>
      </c>
      <c r="G41" s="98">
        <f>344.42136</f>
        <v>344.42135999999999</v>
      </c>
      <c r="H41" s="98">
        <f>E41-G41</f>
        <v>55.578640000000007</v>
      </c>
      <c r="I41" s="98">
        <f>357.00035</f>
        <v>357.00035000000003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8.5675</f>
        <v>8.5675000000000008</v>
      </c>
      <c r="G43" s="139">
        <f>142.40625</f>
        <v>142.40625</v>
      </c>
      <c r="H43" s="139">
        <f t="shared" ref="H43" si="4">E43-G43</f>
        <v>-142.40625</v>
      </c>
      <c r="I43" s="139">
        <f>134.26377</f>
        <v>134.26376999999999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1114.5173000000002</v>
      </c>
      <c r="G44" s="76">
        <f t="shared" si="5"/>
        <v>182466.60893000002</v>
      </c>
      <c r="H44" s="76">
        <f t="shared" si="5"/>
        <v>36574.391069999998</v>
      </c>
      <c r="I44" s="76">
        <f t="shared" si="5"/>
        <v>266003.05997999996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304">
        <v>7872</v>
      </c>
      <c r="E55" s="304">
        <v>8100</v>
      </c>
      <c r="F55" s="11">
        <f>F59+F58+F57+F56</f>
        <v>229</v>
      </c>
      <c r="G55" s="11">
        <f>G59+G58+G57+G56</f>
        <v>4345</v>
      </c>
      <c r="H55" s="304">
        <f>E55-G55</f>
        <v>3755</v>
      </c>
      <c r="I55" s="11">
        <f>I59+I58+I57+I56</f>
        <v>6611</v>
      </c>
      <c r="J55" s="120"/>
    </row>
    <row r="56" spans="1:10" ht="14.15" customHeight="1" x14ac:dyDescent="0.35">
      <c r="A56" s="101"/>
      <c r="B56" s="24"/>
      <c r="C56" s="62" t="s">
        <v>24</v>
      </c>
      <c r="D56" s="305"/>
      <c r="E56" s="305"/>
      <c r="F56" s="127">
        <v>92</v>
      </c>
      <c r="G56" s="127">
        <v>873</v>
      </c>
      <c r="H56" s="305"/>
      <c r="I56" s="127">
        <v>913</v>
      </c>
      <c r="J56" s="120"/>
    </row>
    <row r="57" spans="1:10" ht="14.15" customHeight="1" x14ac:dyDescent="0.35">
      <c r="A57" s="101"/>
      <c r="B57" s="24"/>
      <c r="C57" s="62" t="s">
        <v>25</v>
      </c>
      <c r="D57" s="305"/>
      <c r="E57" s="305"/>
      <c r="F57" s="127">
        <v>84</v>
      </c>
      <c r="G57" s="127">
        <v>1214</v>
      </c>
      <c r="H57" s="305"/>
      <c r="I57" s="127">
        <v>2035</v>
      </c>
      <c r="J57" s="244"/>
    </row>
    <row r="58" spans="1:10" ht="14.15" customHeight="1" x14ac:dyDescent="0.35">
      <c r="A58" s="101"/>
      <c r="B58" s="24"/>
      <c r="C58" s="62" t="s">
        <v>26</v>
      </c>
      <c r="D58" s="305"/>
      <c r="E58" s="305"/>
      <c r="F58" s="127">
        <v>14</v>
      </c>
      <c r="G58" s="127">
        <v>1187</v>
      </c>
      <c r="H58" s="305"/>
      <c r="I58" s="127">
        <v>2495</v>
      </c>
      <c r="J58" s="120"/>
    </row>
    <row r="59" spans="1:10" ht="14.15" customHeight="1" x14ac:dyDescent="0.35">
      <c r="A59" s="101"/>
      <c r="B59" s="24"/>
      <c r="C59" s="87" t="s">
        <v>27</v>
      </c>
      <c r="D59" s="306"/>
      <c r="E59" s="306"/>
      <c r="F59" s="192">
        <v>39</v>
      </c>
      <c r="G59" s="192">
        <v>1071</v>
      </c>
      <c r="H59" s="306"/>
      <c r="I59" s="192">
        <v>1168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56</v>
      </c>
      <c r="G60" s="95">
        <v>561</v>
      </c>
      <c r="H60" s="95">
        <f>E60-G60</f>
        <v>399</v>
      </c>
      <c r="I60" s="95">
        <v>644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19</v>
      </c>
      <c r="G61" s="139">
        <v>2856</v>
      </c>
      <c r="H61" s="139">
        <f>E61-G61</f>
        <v>144</v>
      </c>
      <c r="I61" s="139">
        <v>4406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9" t="s">
        <v>1</v>
      </c>
      <c r="D81" s="300"/>
      <c r="E81" s="299" t="s">
        <v>2</v>
      </c>
      <c r="F81" s="307"/>
      <c r="G81" s="299" t="s">
        <v>3</v>
      </c>
      <c r="H81" s="300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20.183800000000002</v>
      </c>
      <c r="G92" s="11">
        <f t="shared" si="6"/>
        <v>23676.527239999999</v>
      </c>
      <c r="H92" s="11">
        <f t="shared" si="6"/>
        <v>2284.4727600000006</v>
      </c>
      <c r="I92" s="11">
        <f t="shared" si="6"/>
        <v>40241.595370000003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20.1838</f>
        <v>20.183800000000002</v>
      </c>
      <c r="G93" s="23">
        <f>22881.11969</f>
        <v>22881.11969</v>
      </c>
      <c r="H93" s="23">
        <f>E93-G93</f>
        <v>2254.8803100000005</v>
      </c>
      <c r="I93" s="23">
        <f>39688.83918</f>
        <v>39688.839180000003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795.40755</f>
        <v>795.40755000000001</v>
      </c>
      <c r="H94" s="50">
        <f>E94-G94</f>
        <v>29.592449999999985</v>
      </c>
      <c r="I94" s="50">
        <f>552.75619</f>
        <v>552.75618999999995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372.73612000000003</v>
      </c>
      <c r="G95" s="11">
        <f t="shared" si="7"/>
        <v>40756.682489999999</v>
      </c>
      <c r="H95" s="11">
        <f t="shared" si="7"/>
        <v>8237.3175100000026</v>
      </c>
      <c r="I95" s="11">
        <f t="shared" si="7"/>
        <v>32705.930629999999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200.53212000000002</v>
      </c>
      <c r="G96" s="132">
        <f t="shared" si="8"/>
        <v>32784.904739999998</v>
      </c>
      <c r="H96" s="132">
        <f t="shared" si="8"/>
        <v>4709.0952600000019</v>
      </c>
      <c r="I96" s="132">
        <f t="shared" si="8"/>
        <v>22982.475579999998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113.8392</f>
        <v>113.83920000000001</v>
      </c>
      <c r="G97" s="127">
        <f>5439.41794</f>
        <v>5439.4179400000003</v>
      </c>
      <c r="H97" s="127">
        <f t="shared" ref="H97:H104" si="9">E97-G97</f>
        <v>4575.5820599999997</v>
      </c>
      <c r="I97" s="127">
        <f>3874.28783</f>
        <v>3874.2878300000002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40.13493</f>
        <v>40.134929999999997</v>
      </c>
      <c r="G98" s="127">
        <f>10547.73693</f>
        <v>10547.736929999999</v>
      </c>
      <c r="H98" s="127">
        <f t="shared" si="9"/>
        <v>66.26307000000088</v>
      </c>
      <c r="I98" s="127">
        <f>7261.11802</f>
        <v>7261.1180199999999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19.61865</f>
        <v>19.618649999999999</v>
      </c>
      <c r="G99" s="127">
        <f>9861.21</f>
        <v>9861.2099999999991</v>
      </c>
      <c r="H99" s="127">
        <f t="shared" si="9"/>
        <v>250.79000000000087</v>
      </c>
      <c r="I99" s="127">
        <f>6639.12773</f>
        <v>6639.1277300000002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26.93934</f>
        <v>26.939340000000001</v>
      </c>
      <c r="G100" s="127">
        <f>6936.53987</f>
        <v>6936.5398699999996</v>
      </c>
      <c r="H100" s="127">
        <f t="shared" si="9"/>
        <v>-183.53986999999961</v>
      </c>
      <c r="I100" s="127">
        <f>5207.942</f>
        <v>5207.942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98.83995</f>
        <v>98.839950000000002</v>
      </c>
      <c r="G101" s="132">
        <f>5503.03731</f>
        <v>5503.0373099999997</v>
      </c>
      <c r="H101" s="132">
        <f t="shared" si="9"/>
        <v>2092.9626900000003</v>
      </c>
      <c r="I101" s="132">
        <f>7902.02369</f>
        <v>7902.02369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73.36405</f>
        <v>73.364050000000006</v>
      </c>
      <c r="G102" s="75">
        <f>2468.74044</f>
        <v>2468.74044</v>
      </c>
      <c r="H102" s="75">
        <f t="shared" si="9"/>
        <v>1435.25956</v>
      </c>
      <c r="I102" s="75">
        <f>1821.43136</f>
        <v>1821.43136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0.01254</f>
        <v>1.2540000000000001E-2</v>
      </c>
      <c r="G103" s="98">
        <f>36.14478</f>
        <v>36.144779999999997</v>
      </c>
      <c r="H103" s="98">
        <f t="shared" si="9"/>
        <v>282.85522000000003</v>
      </c>
      <c r="I103" s="98">
        <f>11.40739</f>
        <v>11.407389999999999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0.04876</f>
        <v>4.8759999999999998E-2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5.58741</f>
        <v>5.5874100000000002</v>
      </c>
      <c r="G105" s="98">
        <f>44.55038</f>
        <v>44.550379999999997</v>
      </c>
      <c r="H105" s="139">
        <f>E105-G105</f>
        <v>5.449620000000003</v>
      </c>
      <c r="I105" s="98">
        <f>11.46046</f>
        <v>11.460459999999999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9.79268</f>
        <v>9.7926800000000007</v>
      </c>
      <c r="G106" s="139">
        <f>56.28014</f>
        <v>56.280140000000003</v>
      </c>
      <c r="H106" s="139">
        <f t="shared" ref="H106" si="10">E106-G106</f>
        <v>-56.280140000000003</v>
      </c>
      <c r="I106" s="139">
        <f>96.61676</f>
        <v>96.616759999999999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408.36131000000006</v>
      </c>
      <c r="G107" s="76">
        <f t="shared" si="12"/>
        <v>64870.185030000008</v>
      </c>
      <c r="H107" s="76">
        <f t="shared" si="12"/>
        <v>10753.814970000001</v>
      </c>
      <c r="I107" s="76">
        <f t="shared" si="12"/>
        <v>73367.010609999998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362.43450000000001</v>
      </c>
      <c r="G128" s="11">
        <f t="shared" si="13"/>
        <v>49964.552210000002</v>
      </c>
      <c r="H128" s="11">
        <f t="shared" si="13"/>
        <v>22342.447789999998</v>
      </c>
      <c r="I128" s="11">
        <f t="shared" si="13"/>
        <v>58158.022239999998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57562</v>
      </c>
      <c r="F129" s="23">
        <f>362.4345</f>
        <v>362.43450000000001</v>
      </c>
      <c r="G129" s="23">
        <f>44235.21226</f>
        <v>44235.21226</v>
      </c>
      <c r="H129" s="23">
        <f>E129-G129</f>
        <v>13326.78774</v>
      </c>
      <c r="I129" s="23">
        <f>50805.98609</f>
        <v>50805.986089999999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5658.5138</f>
        <v>5658.5137999999997</v>
      </c>
      <c r="H130" s="23">
        <f>E130-G130</f>
        <v>8586.4861999999994</v>
      </c>
      <c r="I130" s="23">
        <f>7218.2761</f>
        <v>7218.2761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70.82615</f>
        <v>70.826149999999998</v>
      </c>
      <c r="H131" s="55">
        <f>E131-G131</f>
        <v>429.17385000000002</v>
      </c>
      <c r="I131" s="23">
        <f>133.76005</f>
        <v>133.76005000000001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239.396</f>
        <v>239.39599999999999</v>
      </c>
      <c r="G132" s="95">
        <f>16404.7998+6860.09865</f>
        <v>23264.898450000001</v>
      </c>
      <c r="H132" s="95">
        <f>E132-G132</f>
        <v>29231.101549999999</v>
      </c>
      <c r="I132" s="95">
        <f>38879.41718</f>
        <v>38879.417179999997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1140.7846</v>
      </c>
      <c r="G133" s="94">
        <f t="shared" ref="G133" si="14">G134+G139+G142</f>
        <v>59567.779380000007</v>
      </c>
      <c r="H133" s="94">
        <f>H134+H139+H142</f>
        <v>20597.220619999996</v>
      </c>
      <c r="I133" s="94">
        <f>I134+I139+I142</f>
        <v>69286.002300000007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964.05314999999996</v>
      </c>
      <c r="G134" s="125">
        <f>G135+G136+G138+G137</f>
        <v>44505.352150000006</v>
      </c>
      <c r="H134" s="125">
        <f>H135+H136+H137+H138</f>
        <v>14573.647849999999</v>
      </c>
      <c r="I134" s="125">
        <f>I135+I136+I137+I138</f>
        <v>54890.266930000005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195.89228</f>
        <v>195.89228</v>
      </c>
      <c r="G135" s="127">
        <v>10225.766530000001</v>
      </c>
      <c r="H135" s="127">
        <f>E135-G135</f>
        <v>7548.2334699999992</v>
      </c>
      <c r="I135" s="127">
        <f>9184.34362</f>
        <v>9184.3436199999996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123.70845</f>
        <v>123.70845</v>
      </c>
      <c r="G136" s="127">
        <v>12674.942905</v>
      </c>
      <c r="H136" s="127">
        <f>E136-G136</f>
        <v>2264.0570950000001</v>
      </c>
      <c r="I136" s="127">
        <f>14379.88109</f>
        <v>14379.881090000001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119.2349</f>
        <v>119.2349</v>
      </c>
      <c r="G137" s="127">
        <v>11041.583315</v>
      </c>
      <c r="H137" s="127">
        <f>E137-G137</f>
        <v>2009.4166850000001</v>
      </c>
      <c r="I137" s="127">
        <f>17024.30011</f>
        <v>17024.30011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525.21752</f>
        <v>525.21752000000004</v>
      </c>
      <c r="G138" s="127">
        <v>10563.0594</v>
      </c>
      <c r="H138" s="127">
        <f>E138-G138</f>
        <v>2751.9405999999999</v>
      </c>
      <c r="I138" s="127">
        <f>14301.74211</f>
        <v>14301.742109999999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2.1553</v>
      </c>
      <c r="G139" s="132">
        <f>SUM(G140:G141)</f>
        <v>8921.0054800000016</v>
      </c>
      <c r="H139" s="132">
        <f>H140+H141</f>
        <v>8.9945199999992269</v>
      </c>
      <c r="I139" s="132">
        <f>SUM(I140:I141)</f>
        <v>7262.2952999999998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8475.06283</f>
        <v>8475.0628300000008</v>
      </c>
      <c r="H140" s="127">
        <f t="shared" ref="H140:H148" si="15">E140-G140</f>
        <v>-45.062830000000758</v>
      </c>
      <c r="I140" s="127">
        <f>7000.50304</f>
        <v>7000.5030399999996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2.1553</f>
        <v>2.1553</v>
      </c>
      <c r="G141" s="127">
        <f>445.94265</f>
        <v>445.94265000000001</v>
      </c>
      <c r="H141" s="127">
        <f t="shared" si="15"/>
        <v>54.057349999999985</v>
      </c>
      <c r="I141" s="127">
        <f>261.79226</f>
        <v>261.79226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12156</v>
      </c>
      <c r="F142" s="75">
        <f>174.57615</f>
        <v>174.57615000000001</v>
      </c>
      <c r="G142" s="75">
        <f>6141.42175</f>
        <v>6141.4217500000004</v>
      </c>
      <c r="H142" s="75">
        <f t="shared" si="15"/>
        <v>6014.5782499999996</v>
      </c>
      <c r="I142" s="75">
        <f>7133.44007</f>
        <v>7133.4400699999997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0.1674</f>
        <v>0.16739999999999999</v>
      </c>
      <c r="G143" s="139">
        <f>16.12295</f>
        <v>16.122949999999999</v>
      </c>
      <c r="H143" s="139">
        <f t="shared" si="15"/>
        <v>129.87705</v>
      </c>
      <c r="I143" s="139">
        <f>31.88938</f>
        <v>31.889379999999999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1.98882</f>
        <v>1.98882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6.7124</f>
        <v>6.7123999999999997</v>
      </c>
      <c r="G147" s="98">
        <f>61.19721</f>
        <v>61.197209999999998</v>
      </c>
      <c r="H147" s="139">
        <f t="shared" si="15"/>
        <v>214.80279000000002</v>
      </c>
      <c r="I147" s="98">
        <f>28.15033</f>
        <v>28.15033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18.7167</f>
        <v>18.716699999999999</v>
      </c>
      <c r="G148" s="139">
        <f>143.09534</f>
        <v>143.09533999999999</v>
      </c>
      <c r="H148" s="139">
        <f t="shared" si="15"/>
        <v>-143.09533999999999</v>
      </c>
      <c r="I148" s="139">
        <f>129.03063</f>
        <v>129.03063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1770.2004199999999</v>
      </c>
      <c r="G150" s="76">
        <f>G128+G132+G133+G143+G144+G145+G146+G147+G148</f>
        <v>135273.68153999999</v>
      </c>
      <c r="H150" s="76">
        <f>H128+H132+H133+H143+H144+H145+H146+H147+H148</f>
        <v>72366.318459999995</v>
      </c>
      <c r="I150" s="76">
        <f>I128+I132+I133+I143+I144+I145+I146+I147+I148</f>
        <v>168775.09306000001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26.8544</f>
        <v>26.854399999999998</v>
      </c>
      <c r="F175" s="276">
        <f>1104.86339</f>
        <v>1104.86339</v>
      </c>
      <c r="G175" s="43">
        <f>D175-F175-F176</f>
        <v>1552.64231</v>
      </c>
      <c r="H175" s="276">
        <f>1589.57061</f>
        <v>1589.57061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0</f>
        <v>0</v>
      </c>
      <c r="F176" s="152">
        <f>1565.4943</f>
        <v>1565.4943000000001</v>
      </c>
      <c r="G176" s="217"/>
      <c r="H176" s="152">
        <f>1746.17603</f>
        <v>1746.1760300000001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0.04092</f>
        <v>4.0919999999999998E-2</v>
      </c>
      <c r="F177" s="172">
        <f>113.25149</f>
        <v>113.25149</v>
      </c>
      <c r="G177" s="172">
        <f>D177-F177</f>
        <v>86.748509999999996</v>
      </c>
      <c r="H177" s="172">
        <f>74.78746</f>
        <v>74.787459999999996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10.05363</v>
      </c>
      <c r="F178" s="181">
        <f>F179+F180+F181</f>
        <v>5969.9295499999998</v>
      </c>
      <c r="G178" s="181">
        <f>D178-F178</f>
        <v>364.07045000000016</v>
      </c>
      <c r="H178" s="181">
        <f>H179+H180+H181</f>
        <v>8100.8395799999998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1.54926</f>
        <v>1.5492600000000001</v>
      </c>
      <c r="F179" s="127">
        <f>3091.3642</f>
        <v>3091.3642</v>
      </c>
      <c r="G179" s="127"/>
      <c r="H179" s="127">
        <f>4172.73825</f>
        <v>4172.7382500000003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5.91593</f>
        <v>5.9159300000000004</v>
      </c>
      <c r="F180" s="127">
        <f>1822.57852</f>
        <v>1822.57852</v>
      </c>
      <c r="G180" s="127"/>
      <c r="H180" s="127">
        <f>2497.70626</f>
        <v>2497.7062599999999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2.58844</f>
        <v>2.5884399999999999</v>
      </c>
      <c r="F181" s="192">
        <f>1055.98683</f>
        <v>1055.9868300000001</v>
      </c>
      <c r="G181" s="192"/>
      <c r="H181" s="192">
        <f>1430.39507</f>
        <v>1430.39507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36.948949999999996</v>
      </c>
      <c r="F184" s="194">
        <f>F175+F176+F177+F178+F182+F183</f>
        <v>8753.5387300000002</v>
      </c>
      <c r="G184" s="194">
        <f>D184-F184</f>
        <v>2069.4612699999998</v>
      </c>
      <c r="H184" s="194">
        <f>H175+H176+H177+H178+H182+H183</f>
        <v>11511.373680000001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269.63173</f>
        <v>269.63173</v>
      </c>
      <c r="F204" s="124">
        <f>41688.12847</f>
        <v>41688.128470000003</v>
      </c>
      <c r="G204" s="124">
        <f>D204-F204</f>
        <v>4593.8715299999967</v>
      </c>
      <c r="H204" s="124">
        <f>41070.04988</f>
        <v>41070.049879999999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0.54338</f>
        <v>0.54337999999999997</v>
      </c>
      <c r="F205" s="124">
        <f>41.00246</f>
        <v>41.002459999999999</v>
      </c>
      <c r="G205" s="124">
        <f>D205-F205</f>
        <v>58.997540000000001</v>
      </c>
      <c r="H205" s="124">
        <f>65.93523</f>
        <v>65.935230000000004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270.17511000000002</v>
      </c>
      <c r="F207" s="190">
        <f>SUM(F204:F206)</f>
        <v>41729.130930000007</v>
      </c>
      <c r="G207" s="190">
        <f>D207-F207</f>
        <v>4688.8690699999934</v>
      </c>
      <c r="H207" s="190">
        <f>SUM(H204:H206)</f>
        <v>41135.985110000001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5.9590999999999994</v>
      </c>
      <c r="F249" s="75">
        <f>F250+F251</f>
        <v>4220.2181399999999</v>
      </c>
      <c r="G249" s="75">
        <f>D249-F249</f>
        <v>-233.21813999999995</v>
      </c>
      <c r="H249" s="75">
        <f>H250+H251</f>
        <v>4175.0589500000006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1.7646</f>
        <v>1.7645999999999999</v>
      </c>
      <c r="F250" s="75">
        <f>3637.54861</f>
        <v>3637.5486099999998</v>
      </c>
      <c r="G250" s="75"/>
      <c r="H250" s="75">
        <f>3557.36036</f>
        <v>3557.3603600000001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4.1945</f>
        <v>4.1944999999999997</v>
      </c>
      <c r="F251" s="124">
        <f>582.66953</f>
        <v>582.66953000000001</v>
      </c>
      <c r="G251" s="168"/>
      <c r="H251" s="124">
        <f>617.69859</f>
        <v>617.69858999999997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30.24298</f>
        <v>30.242979999999999</v>
      </c>
      <c r="F252" s="75">
        <f>5338.39514</f>
        <v>5338.3951399999996</v>
      </c>
      <c r="G252" s="75">
        <f>D252-F252</f>
        <v>-725.39513999999963</v>
      </c>
      <c r="H252" s="75">
        <f>5230.91318</f>
        <v>5230.9131799999996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36.202079999999995</v>
      </c>
      <c r="F253" s="190">
        <f>SUM(F249,F252)</f>
        <v>9558.6132799999996</v>
      </c>
      <c r="G253" s="190">
        <f>D253-F253</f>
        <v>-958.61327999999958</v>
      </c>
      <c r="H253" s="190">
        <f>SUM(H249,H252)</f>
        <v>9405.9721300000001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3.7049300000000001</v>
      </c>
      <c r="F295" s="75">
        <f>F296+F297</f>
        <v>5304.7106400000002</v>
      </c>
      <c r="G295" s="75">
        <f>D295-F295</f>
        <v>-214.71064000000024</v>
      </c>
      <c r="H295" s="75">
        <f>H296+H297</f>
        <v>6007.7771700000003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0.64681</f>
        <v>0.64681</v>
      </c>
      <c r="F296" s="75">
        <f>4831.3073</f>
        <v>4831.3073000000004</v>
      </c>
      <c r="G296" s="75"/>
      <c r="H296" s="75">
        <f>5504.61881</f>
        <v>5504.6188099999999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3.05812</f>
        <v>3.0581200000000002</v>
      </c>
      <c r="F297" s="124">
        <f>473.40334</f>
        <v>473.40334000000001</v>
      </c>
      <c r="G297" s="168"/>
      <c r="H297" s="124">
        <f>503.15836</f>
        <v>503.15836000000002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105.12988</f>
        <v>105.12988</v>
      </c>
      <c r="F298" s="75">
        <f>2825.80685</f>
        <v>2825.8068499999999</v>
      </c>
      <c r="G298" s="75">
        <f>D298-F298</f>
        <v>155.19315000000006</v>
      </c>
      <c r="H298" s="75">
        <f>3432.86114</f>
        <v>3432.86114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108.83481</v>
      </c>
      <c r="F299" s="190">
        <f>SUM(F295,F298)</f>
        <v>8130.5174900000002</v>
      </c>
      <c r="G299" s="190">
        <f>D299-F299</f>
        <v>-59.51749000000018</v>
      </c>
      <c r="H299" s="190">
        <f>SUM(H295,H298)</f>
        <v>9440.6383100000003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8.68868</f>
        <v>8.6886799999999997</v>
      </c>
      <c r="F350" s="124">
        <f>601.02805</f>
        <v>601.02805000000001</v>
      </c>
      <c r="G350" s="124">
        <f>D350-F350</f>
        <v>198.97194999999999</v>
      </c>
      <c r="H350" s="124">
        <f>542.63726</f>
        <v>542.63725999999997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28.01938</f>
        <v>28.019380000000002</v>
      </c>
      <c r="F351" s="124">
        <f>2265.10052</f>
        <v>2265.10052</v>
      </c>
      <c r="G351" s="124">
        <f>D351-F351</f>
        <v>775.89948000000004</v>
      </c>
      <c r="H351" s="124">
        <f>2687.86825</f>
        <v>2687.86825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0.248</f>
        <v>0.248</v>
      </c>
      <c r="G353" s="124">
        <f>D353-F353</f>
        <v>-0.248</v>
      </c>
      <c r="H353" s="168">
        <f>1.78973</f>
        <v>1.78973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36.708060000000003</v>
      </c>
      <c r="F354" s="190">
        <f>SUM(F350:F353)</f>
        <v>2869.9861900000001</v>
      </c>
      <c r="G354" s="190">
        <f>D354-F354</f>
        <v>981.01380999999992</v>
      </c>
      <c r="H354" s="190">
        <f>H350+H351+H352+H353</f>
        <v>3235.0339799999997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62.794200000000004</v>
      </c>
      <c r="G380" s="253">
        <f t="shared" si="17"/>
        <v>18391.248179999999</v>
      </c>
      <c r="H380" s="253">
        <f>H384+H383+H382+H381</f>
        <v>4577.7518199999995</v>
      </c>
      <c r="I380" s="253">
        <f t="shared" si="17"/>
        <v>16227.14172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0</f>
        <v>0</v>
      </c>
      <c r="G381" s="257">
        <f>12020.90119</f>
        <v>12020.90119</v>
      </c>
      <c r="H381" s="257">
        <f t="shared" ref="H381:H385" si="18">E381-G381</f>
        <v>1169.0988099999995</v>
      </c>
      <c r="I381" s="257">
        <f>9908.37411</f>
        <v>9908.3741100000007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1998.07392</f>
        <v>1998.07392</v>
      </c>
      <c r="H382" s="257">
        <f t="shared" si="18"/>
        <v>1434.92608</v>
      </c>
      <c r="I382" s="257">
        <f>1404.39555</f>
        <v>1404.39555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52.8372</f>
        <v>52.837200000000003</v>
      </c>
      <c r="G383" s="257">
        <f>1918.64061</f>
        <v>1918.6406099999999</v>
      </c>
      <c r="H383" s="257">
        <f t="shared" si="18"/>
        <v>-435.64060999999992</v>
      </c>
      <c r="I383" s="257">
        <f>1854.19956</f>
        <v>1854.19956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9.957</f>
        <v>9.9570000000000007</v>
      </c>
      <c r="G384" s="257">
        <f>2453.63246</f>
        <v>2453.6324599999998</v>
      </c>
      <c r="H384" s="257">
        <f t="shared" si="18"/>
        <v>2409.3675400000002</v>
      </c>
      <c r="I384" s="257">
        <f>3060.1725</f>
        <v>3060.1725000000001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0.305</f>
        <v>0.30499999999999999</v>
      </c>
      <c r="G385" s="268">
        <f>2161.64978</f>
        <v>2161.6497800000002</v>
      </c>
      <c r="H385" s="268">
        <f t="shared" si="18"/>
        <v>3338.3502199999998</v>
      </c>
      <c r="I385" s="268">
        <f>5111.96628</f>
        <v>5111.9662799999996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77.550579999999997</v>
      </c>
      <c r="G386" s="269">
        <f>G388+G387</f>
        <v>3787.6562699999995</v>
      </c>
      <c r="H386" s="269">
        <f>E386-G386</f>
        <v>4212.3437300000005</v>
      </c>
      <c r="I386" s="269">
        <f>I388+I387</f>
        <v>4142.1311800000003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1038.47499</f>
        <v>1038.4749899999999</v>
      </c>
      <c r="H387" s="257"/>
      <c r="I387" s="257">
        <f>862.46423</f>
        <v>862.46423000000004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77.55058</f>
        <v>77.550579999999997</v>
      </c>
      <c r="G388" s="278">
        <f>2749.18128</f>
        <v>2749.1812799999998</v>
      </c>
      <c r="H388" s="278"/>
      <c r="I388" s="278">
        <f>3279.66695</f>
        <v>3279.6669499999998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0.1484</f>
        <v>0.1484</v>
      </c>
      <c r="H389" s="268">
        <f>E389-G389</f>
        <v>12.851599999999999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0.62449</f>
        <v>0.62448999999999999</v>
      </c>
      <c r="G390" s="268">
        <f>105.80592</f>
        <v>105.80592</v>
      </c>
      <c r="H390" s="268">
        <f>E390-G390</f>
        <v>-105.80592</v>
      </c>
      <c r="I390" s="268">
        <f>117.2999</f>
        <v>117.29989999999999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141.27427</v>
      </c>
      <c r="G391" s="287">
        <f t="shared" si="19"/>
        <v>24446.508549999995</v>
      </c>
      <c r="H391" s="287">
        <f>H380+H385+H386+H389+H390</f>
        <v>12035.49145</v>
      </c>
      <c r="I391" s="287">
        <f t="shared" si="19"/>
        <v>25599.287580000004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8" t="s">
        <v>138</v>
      </c>
      <c r="D407" s="308"/>
      <c r="E407" s="308"/>
      <c r="F407" s="308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55.689700000000002</v>
      </c>
      <c r="F413" s="26">
        <f>SUM(F414:F415)</f>
        <v>925.20398</v>
      </c>
      <c r="G413" s="85">
        <f>D413-F413</f>
        <v>-31.203980000000001</v>
      </c>
      <c r="H413" s="26">
        <f>SUM(H414:H415)</f>
        <v>939.36592999999993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41.709</f>
        <v>41.709000000000003</v>
      </c>
      <c r="F414" s="205">
        <f>699.98158</f>
        <v>699.98158000000001</v>
      </c>
      <c r="G414" s="206"/>
      <c r="H414" s="205">
        <f>719.11123</f>
        <v>719.11122999999998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13.9807</f>
        <v>13.980700000000001</v>
      </c>
      <c r="F415" s="208">
        <f>225.2224</f>
        <v>225.22239999999999</v>
      </c>
      <c r="G415" s="209"/>
      <c r="H415" s="208">
        <f>220.2547</f>
        <v>220.25470000000001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55.689700000000002</v>
      </c>
      <c r="F423" s="40">
        <f>F413+F416+F419+F422</f>
        <v>925.20398</v>
      </c>
      <c r="G423" s="41">
        <f>D423-F423</f>
        <v>1755.79602</v>
      </c>
      <c r="H423" s="40">
        <f>H413+H416+H419+H422</f>
        <v>939.36592999999993</v>
      </c>
      <c r="I423" s="27"/>
      <c r="J423" s="130"/>
    </row>
    <row r="424" spans="1:10" ht="42" customHeight="1" x14ac:dyDescent="0.35">
      <c r="A424" s="218"/>
      <c r="B424" s="72"/>
      <c r="C424" s="301" t="s">
        <v>117</v>
      </c>
      <c r="D424" s="301"/>
      <c r="E424" s="301"/>
      <c r="F424" s="301"/>
      <c r="G424" s="301"/>
      <c r="H424" s="301"/>
      <c r="I424" s="301"/>
      <c r="J424" s="302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42&amp;R21.10.2024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2024-10-21T06:31:26Z</dcterms:modified>
</cp:coreProperties>
</file>