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oyher\Downloads\"/>
    </mc:Choice>
  </mc:AlternateContent>
  <xr:revisionPtr revIDLastSave="0" documentId="8_{8868325A-C03F-40C1-A94F-A9EABD2AD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134" i="1"/>
  <c r="H422" i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G390" i="1"/>
  <c r="H390" i="1" s="1"/>
  <c r="F390" i="1"/>
  <c r="I389" i="1"/>
  <c r="H389" i="1"/>
  <c r="G389" i="1"/>
  <c r="F389" i="1"/>
  <c r="I388" i="1"/>
  <c r="G388" i="1"/>
  <c r="G386" i="1" s="1"/>
  <c r="F388" i="1"/>
  <c r="F386" i="1" s="1"/>
  <c r="I387" i="1"/>
  <c r="I386" i="1" s="1"/>
  <c r="G387" i="1"/>
  <c r="F387" i="1"/>
  <c r="I385" i="1"/>
  <c r="H385" i="1"/>
  <c r="G385" i="1"/>
  <c r="F385" i="1"/>
  <c r="I384" i="1"/>
  <c r="H384" i="1"/>
  <c r="G384" i="1"/>
  <c r="F384" i="1"/>
  <c r="I383" i="1"/>
  <c r="H383" i="1"/>
  <c r="H380" i="1" s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I380" i="1"/>
  <c r="G380" i="1"/>
  <c r="D380" i="1"/>
  <c r="D391" i="1" s="1"/>
  <c r="H372" i="1"/>
  <c r="F372" i="1"/>
  <c r="H354" i="1"/>
  <c r="G354" i="1"/>
  <c r="F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E354" i="1" s="1"/>
  <c r="D343" i="1"/>
  <c r="H299" i="1"/>
  <c r="D299" i="1"/>
  <c r="H298" i="1"/>
  <c r="F298" i="1"/>
  <c r="G298" i="1" s="1"/>
  <c r="E298" i="1"/>
  <c r="H297" i="1"/>
  <c r="F297" i="1"/>
  <c r="E297" i="1"/>
  <c r="H296" i="1"/>
  <c r="F296" i="1"/>
  <c r="F295" i="1" s="1"/>
  <c r="E296" i="1"/>
  <c r="H295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H207" i="1" s="1"/>
  <c r="G204" i="1"/>
  <c r="F204" i="1"/>
  <c r="E204" i="1"/>
  <c r="E207" i="1" s="1"/>
  <c r="E18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F184" i="1" s="1"/>
  <c r="E175" i="1"/>
  <c r="D169" i="1"/>
  <c r="D167" i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G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E134" i="1"/>
  <c r="E133" i="1" s="1"/>
  <c r="E150" i="1" s="1"/>
  <c r="D134" i="1"/>
  <c r="D133" i="1" s="1"/>
  <c r="D150" i="1" s="1"/>
  <c r="I132" i="1"/>
  <c r="H132" i="1"/>
  <c r="F132" i="1"/>
  <c r="I131" i="1"/>
  <c r="H131" i="1"/>
  <c r="G131" i="1"/>
  <c r="F131" i="1"/>
  <c r="I130" i="1"/>
  <c r="H130" i="1"/>
  <c r="G130" i="1"/>
  <c r="F130" i="1"/>
  <c r="I129" i="1"/>
  <c r="I128" i="1" s="1"/>
  <c r="I150" i="1" s="1"/>
  <c r="H129" i="1"/>
  <c r="G129" i="1"/>
  <c r="G128" i="1" s="1"/>
  <c r="F129" i="1"/>
  <c r="H128" i="1"/>
  <c r="F128" i="1"/>
  <c r="F150" i="1" s="1"/>
  <c r="E128" i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D107" i="1" s="1"/>
  <c r="I94" i="1"/>
  <c r="G94" i="1"/>
  <c r="H94" i="1" s="1"/>
  <c r="F94" i="1"/>
  <c r="I93" i="1"/>
  <c r="G93" i="1"/>
  <c r="H93" i="1" s="1"/>
  <c r="F93" i="1"/>
  <c r="I92" i="1"/>
  <c r="G92" i="1"/>
  <c r="F92" i="1"/>
  <c r="E92" i="1"/>
  <c r="D92" i="1"/>
  <c r="C89" i="1"/>
  <c r="H85" i="1"/>
  <c r="F85" i="1"/>
  <c r="D85" i="1"/>
  <c r="G61" i="1"/>
  <c r="G60" i="1"/>
  <c r="H55" i="1"/>
  <c r="I32" i="1" s="1"/>
  <c r="I27" i="1" s="1"/>
  <c r="F55" i="1"/>
  <c r="G55" i="1" s="1"/>
  <c r="E55" i="1"/>
  <c r="F32" i="1" s="1"/>
  <c r="F27" i="1" s="1"/>
  <c r="I43" i="1"/>
  <c r="G43" i="1"/>
  <c r="H43" i="1" s="1"/>
  <c r="F43" i="1"/>
  <c r="H42" i="1"/>
  <c r="I41" i="1"/>
  <c r="H41" i="1"/>
  <c r="G41" i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F34" i="1" s="1"/>
  <c r="I35" i="1"/>
  <c r="I34" i="1" s="1"/>
  <c r="G35" i="1"/>
  <c r="F35" i="1"/>
  <c r="E35" i="1"/>
  <c r="H35" i="1" s="1"/>
  <c r="G34" i="1"/>
  <c r="D34" i="1"/>
  <c r="I33" i="1"/>
  <c r="G33" i="1"/>
  <c r="H33" i="1" s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H28" i="1"/>
  <c r="G28" i="1"/>
  <c r="F28" i="1"/>
  <c r="E27" i="1"/>
  <c r="D27" i="1"/>
  <c r="D26" i="1" s="1"/>
  <c r="E26" i="1"/>
  <c r="E44" i="1" s="1"/>
  <c r="I25" i="1"/>
  <c r="H25" i="1"/>
  <c r="G25" i="1"/>
  <c r="F25" i="1"/>
  <c r="I24" i="1"/>
  <c r="I23" i="1" s="1"/>
  <c r="G24" i="1"/>
  <c r="H24" i="1" s="1"/>
  <c r="H23" i="1" s="1"/>
  <c r="F24" i="1"/>
  <c r="F23" i="1" s="1"/>
  <c r="G23" i="1"/>
  <c r="E23" i="1"/>
  <c r="D23" i="1"/>
  <c r="H16" i="1"/>
  <c r="F16" i="1"/>
  <c r="D16" i="1"/>
  <c r="G133" i="1" l="1"/>
  <c r="G150" i="1" s="1"/>
  <c r="H134" i="1"/>
  <c r="G32" i="1"/>
  <c r="H32" i="1" s="1"/>
  <c r="H27" i="1" s="1"/>
  <c r="H92" i="1"/>
  <c r="G184" i="1"/>
  <c r="I26" i="1"/>
  <c r="I44" i="1" s="1"/>
  <c r="F107" i="1"/>
  <c r="I391" i="1"/>
  <c r="H139" i="1"/>
  <c r="G249" i="1"/>
  <c r="F253" i="1"/>
  <c r="G253" i="1"/>
  <c r="H386" i="1"/>
  <c r="H391" i="1" s="1"/>
  <c r="G391" i="1"/>
  <c r="F423" i="1"/>
  <c r="G413" i="1"/>
  <c r="F26" i="1"/>
  <c r="F44" i="1" s="1"/>
  <c r="G107" i="1"/>
  <c r="I107" i="1"/>
  <c r="H133" i="1"/>
  <c r="H150" i="1" s="1"/>
  <c r="G295" i="1"/>
  <c r="F299" i="1"/>
  <c r="G299" i="1" s="1"/>
  <c r="D44" i="1"/>
  <c r="H34" i="1"/>
  <c r="H97" i="1"/>
  <c r="H96" i="1" s="1"/>
  <c r="H95" i="1" s="1"/>
  <c r="G175" i="1"/>
  <c r="G27" i="1" l="1"/>
  <c r="G26" i="1" s="1"/>
  <c r="G44" i="1" s="1"/>
  <c r="H26" i="1"/>
  <c r="H44" i="1" s="1"/>
  <c r="H107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<sst xmlns="http://schemas.openxmlformats.org/spreadsheetml/2006/main" count="359" uniqueCount="152">
  <si>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</si>
  <si>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</si>
  <si>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</si>
  <si>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</si>
  <si>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</si>
  <si>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</si>
  <si>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</si>
  <si>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</si>
  <si>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</si>
  <si>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</si>
  <si>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</si>
  <si>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</si>
  <si>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</si>
  <si>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</si>
  <si>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</si>
  <si>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</si>
  <si>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</si>
  <si>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</si>
  <si>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</si>
  <si>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</si>
  <si>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</si>
  <si>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</si>
  <si>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</si>
  <si>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</si>
  <si>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</si>
  <si>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</si>
  <si>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</si>
  <si>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</si>
  <si>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</si>
  <si>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</si>
  <si>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</si>
  <si>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</si>
  <si>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</si>
  <si>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</si>
  <si>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</si>
  <si>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</si>
  <si>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</si>
  <si>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</si>
  <si>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</si>
  <si>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</si>
  <si>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</si>
  <si>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</si>
  <si>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</si>
  <si>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</si>
  <si>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</si>
  <si>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</si>
  <si>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</si>
  <si>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</si>
  <si>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</si>
  <si>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</si>
  <si>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</si>
  <si>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</si>
  <si>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</si>
  <si>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</si>
  <si>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</si>
  <si>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</si>
  <si>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</si>
  <si>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</si>
  <si>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</si>
  <si>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</si>
  <si>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</si>
  <si>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</si>
  <si>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</si>
  <si>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</si>
  <si>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</si>
  <si>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</si>
  <si>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</si>
  <si>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</si>
  <si>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</si>
  <si>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</si>
  <si>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</si>
  <si>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</si>
  <si>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</si>
  <si>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</si>
  <si>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</si>
  <si>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</si>
  <si>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</si>
  <si>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</si>
  <si>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</si>
  <si>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</si>
  <si>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</si>
  <si>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</si>
  <si>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</si>
  <si>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</si>
  <si>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</si>
  <si>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</si>
  <si>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</si>
  <si>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</si>
  <si>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</si>
  <si>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</si>
  <si>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</si>
  <si>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</si>
  <si>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</si>
  <si>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</si>
  <si>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</si>
  <si>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</si>
  <si>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</si>
  <si>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</si>
  <si>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</si>
  <si>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</si>
  <si>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</si>
  <si>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</si>
  <si>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</si>
  <si>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</si>
  <si>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</si>
  <si>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</si>
  <si>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</si>
  <si>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</si>
  <si>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</si>
  <si>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</si>
  <si>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</si>
  <si>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</si>
  <si>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</si>
  <si>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</si>
  <si>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</si>
  <si>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</si>
  <si>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</si>
  <si>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</si>
  <si>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</si>
  <si>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</si>
  <si>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</si>
  <si>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</si>
  <si>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</si>
  <si>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</si>
  <si>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</si>
  <si>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</si>
  <si>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</si>
  <si>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</si>
  <si>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</si>
  <si>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</si>
  <si>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</si>
  <si>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</si>
  <si>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</si>
  <si>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</si>
  <si>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</si>
  <si>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</si>
  <si>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</si>
  <si>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</si>
  <si>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</si>
  <si>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</si>
  <si>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</si>
  <si>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</si>
  <si>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</si>
  <si>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</si>
  <si>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54 tonn, men det legges til grunn at hele avsetningen tas</t>
  </si>
  <si>
    <t>4 Registrert rekreasjonsfiske utgjør 353 tonn, men det legges til grunn at hele avsetningen tas</t>
  </si>
  <si>
    <t>3 Registrert rekreasjonsfiske utgjør 709 tonn, men det legges til grunn at hele avsetningen tas</t>
  </si>
  <si>
    <t>FANGST UKE 28</t>
  </si>
  <si>
    <t>FANGST T.O.M UKE 28</t>
  </si>
  <si>
    <t>RESTKVOTER UKE 28</t>
  </si>
  <si>
    <t>FANGST T.O.M UKE 28 2023</t>
  </si>
  <si>
    <r>
      <t>3</t>
    </r>
    <r>
      <rPr>
        <sz val="9"/>
        <color indexed="8"/>
        <rFont val="Calibri"/>
        <family val="2"/>
      </rPr>
      <t xml:space="preserve"> Det er fisket 2714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</si>
</sst>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showWhiteSpace="0" view="pageLayout" topLeftCell="A126" zoomScale="85" zoomScaleNormal="85" zoomScaleSheetLayoutView="100" zoomScalePageLayoutView="85" workbookViewId="0">
      <selection activeCell="C154" sqref="C15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52.054499999999997</v>
      </c>
      <c r="G23" s="28">
        <f t="shared" si="0"/>
        <v>37311.139569999999</v>
      </c>
      <c r="H23" s="11">
        <f t="shared" si="0"/>
        <v>23500.860430000001</v>
      </c>
      <c r="I23" s="11">
        <f t="shared" si="0"/>
        <v>50015.728009999999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52.0545</f>
        <v>52.054499999999997</v>
      </c>
      <c r="G24" s="23">
        <f>36789.17578</f>
        <v>36789.175779999998</v>
      </c>
      <c r="H24" s="23">
        <f>E24-G24</f>
        <v>23252.824220000002</v>
      </c>
      <c r="I24" s="23">
        <f>49692.41627</f>
        <v>49692.416270000002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323.31174</f>
        <v>323.31173999999999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1163.9383499999999</v>
      </c>
      <c r="G26" s="11">
        <f t="shared" si="1"/>
        <v>118225.28323</v>
      </c>
      <c r="H26" s="11">
        <f t="shared" si="1"/>
        <v>26648.716770000003</v>
      </c>
      <c r="I26" s="11">
        <f t="shared" si="1"/>
        <v>167456.30186000001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1037.0119999999999</v>
      </c>
      <c r="G27" s="132">
        <f t="shared" ref="G27:I27" si="2">G28+G29+G30+G31+G32</f>
        <v>96701.681840000005</v>
      </c>
      <c r="H27" s="132">
        <f t="shared" si="2"/>
        <v>16276.318160000003</v>
      </c>
      <c r="I27" s="132">
        <f t="shared" si="2"/>
        <v>132832.25667999999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91.31938</f>
        <v>91.319379999999995</v>
      </c>
      <c r="G28" s="127">
        <f>25651.57483 - F56</f>
        <v>25541.574830000001</v>
      </c>
      <c r="H28" s="127">
        <f t="shared" ref="H28:H40" si="3">E28-G28</f>
        <v>3088.4251699999986</v>
      </c>
      <c r="I28" s="127">
        <f>36265.88892 - H56</f>
        <v>36265.888919999998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119.29867</f>
        <v>119.29867</v>
      </c>
      <c r="G29" s="127">
        <f>27011.34089 - F57</f>
        <v>26858.340889999999</v>
      </c>
      <c r="H29" s="127">
        <f t="shared" si="3"/>
        <v>2806.6591100000005</v>
      </c>
      <c r="I29" s="127">
        <f>37348.01867 - H57</f>
        <v>37348.018669999998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216.88283</f>
        <v>216.88283000000001</v>
      </c>
      <c r="G30" s="127">
        <f>25395.53204 - F58</f>
        <v>25151.532039999998</v>
      </c>
      <c r="H30" s="127">
        <f t="shared" si="3"/>
        <v>2092.4679600000018</v>
      </c>
      <c r="I30" s="127">
        <f>35236.04995 - H58</f>
        <v>35236.049950000001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202.51112</f>
        <v>202.51112000000001</v>
      </c>
      <c r="G31" s="127">
        <f>18643.23408 - F59</f>
        <v>18433.234079999998</v>
      </c>
      <c r="H31" s="127">
        <f t="shared" si="3"/>
        <v>905.76592000000164</v>
      </c>
      <c r="I31" s="127">
        <f>23982.29914 - H59</f>
        <v>23982.299139999999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407</v>
      </c>
      <c r="G32" s="127">
        <f>F55</f>
        <v>717</v>
      </c>
      <c r="H32" s="127">
        <f t="shared" si="3"/>
        <v>7383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3.1404</f>
        <v>3.1404000000000001</v>
      </c>
      <c r="G33" s="132">
        <f>9987.04193</f>
        <v>9987.0419299999994</v>
      </c>
      <c r="H33" s="132">
        <f t="shared" si="3"/>
        <v>6871.9580700000006</v>
      </c>
      <c r="I33" s="132">
        <f>14750.94175</f>
        <v>14750.94175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123.78595</v>
      </c>
      <c r="G34" s="132">
        <f>G35+G36</f>
        <v>11536.55946</v>
      </c>
      <c r="H34" s="132">
        <f t="shared" si="3"/>
        <v>3500.4405399999996</v>
      </c>
      <c r="I34" s="132">
        <f>I35+I36</f>
        <v>19873.103429999999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83.78595</f>
        <v>83.78595</v>
      </c>
      <c r="G35" s="132">
        <f>14182.55946 - F60 - F61</f>
        <v>11450.55946</v>
      </c>
      <c r="H35" s="127">
        <f t="shared" si="3"/>
        <v>2626.4405399999996</v>
      </c>
      <c r="I35" s="127">
        <f>24074.10343 - H60 - H61</f>
        <v>19873.103429999999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40</v>
      </c>
      <c r="G36" s="71">
        <f>F60</f>
        <v>86</v>
      </c>
      <c r="H36" s="71">
        <f t="shared" si="3"/>
        <v>874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463.82117</f>
        <v>463.82117</v>
      </c>
      <c r="H38" s="98">
        <f t="shared" si="3"/>
        <v>391.17883</v>
      </c>
      <c r="I38" s="98">
        <f>486.41374</f>
        <v>486.41374000000002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16</v>
      </c>
      <c r="G39" s="98">
        <f>F61</f>
        <v>2646</v>
      </c>
      <c r="H39" s="98">
        <f t="shared" si="3"/>
        <v>354</v>
      </c>
      <c r="I39" s="98">
        <f>H61</f>
        <v>4201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25.12447</f>
        <v>25.124469999999999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2.2833</f>
        <v>2.2833000000000001</v>
      </c>
      <c r="G41" s="98">
        <f>322.60131</f>
        <v>322.60131000000001</v>
      </c>
      <c r="H41" s="98">
        <f>E41-G41</f>
        <v>77.398689999999988</v>
      </c>
      <c r="I41" s="98">
        <f>347.72165</f>
        <v>347.72165000000001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1.70706</f>
        <v>1.70706</v>
      </c>
      <c r="G43" s="139">
        <f>89.57624</f>
        <v>89.576239999999999</v>
      </c>
      <c r="H43" s="139">
        <f t="shared" ref="H43" si="4">E43-G43</f>
        <v>-89.576239999999999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1261.1076799999998</v>
      </c>
      <c r="G44" s="76">
        <f t="shared" si="5"/>
        <v>166406.78672</v>
      </c>
      <c r="H44" s="76">
        <f t="shared" si="5"/>
        <v>52634.213279999996</v>
      </c>
      <c r="I44" s="76">
        <f t="shared" si="5"/>
        <v>230332.17052999997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407</v>
      </c>
      <c r="F55" s="11">
        <f>F59+F58+F57+F56</f>
        <v>717</v>
      </c>
      <c r="G55" s="295">
        <f>D55-F55</f>
        <v>7155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52</v>
      </c>
      <c r="F56" s="127">
        <v>110</v>
      </c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82</v>
      </c>
      <c r="F57" s="127">
        <v>153</v>
      </c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147</v>
      </c>
      <c r="F58" s="127">
        <v>244</v>
      </c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>
        <v>126</v>
      </c>
      <c r="F59" s="192">
        <v>210</v>
      </c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40</v>
      </c>
      <c r="F60" s="95">
        <v>86</v>
      </c>
      <c r="G60" s="95">
        <f>D60-F60</f>
        <v>874</v>
      </c>
      <c r="H60" s="95"/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16</v>
      </c>
      <c r="F61" s="139">
        <v>2646</v>
      </c>
      <c r="G61" s="139">
        <f>D61-F61</f>
        <v>354</v>
      </c>
      <c r="H61" s="139">
        <v>4201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15.8018</v>
      </c>
      <c r="G92" s="11">
        <f t="shared" si="6"/>
        <v>23220.54364</v>
      </c>
      <c r="H92" s="11">
        <f t="shared" si="6"/>
        <v>2740.4563599999983</v>
      </c>
      <c r="I92" s="11">
        <f t="shared" si="6"/>
        <v>39002.519930000002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15.8018</f>
        <v>15.8018</v>
      </c>
      <c r="G93" s="23">
        <f>22442.30639</f>
        <v>22442.306390000002</v>
      </c>
      <c r="H93" s="23">
        <f>E93-G93</f>
        <v>2693.6936099999984</v>
      </c>
      <c r="I93" s="23">
        <f>38502.79959</f>
        <v>38502.799590000002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499.72034</f>
        <v>499.72034000000002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909.82751999999994</v>
      </c>
      <c r="G95" s="11">
        <f t="shared" si="7"/>
        <v>32643.632220000003</v>
      </c>
      <c r="H95" s="11">
        <f t="shared" si="7"/>
        <v>16350.367779999999</v>
      </c>
      <c r="I95" s="11">
        <f t="shared" si="7"/>
        <v>23047.961729999999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869.74538999999993</v>
      </c>
      <c r="G96" s="132">
        <f t="shared" si="8"/>
        <v>25840.875980000001</v>
      </c>
      <c r="H96" s="132">
        <f t="shared" si="8"/>
        <v>11653.124019999999</v>
      </c>
      <c r="I96" s="132">
        <f t="shared" si="8"/>
        <v>16363.466069999999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39.23535</f>
        <v>39.235349999999997</v>
      </c>
      <c r="G97" s="127">
        <f>4185.39196</f>
        <v>4185.3919599999999</v>
      </c>
      <c r="H97" s="127">
        <f t="shared" ref="H97:H104" si="9">E97-G97</f>
        <v>5829.6080400000001</v>
      </c>
      <c r="I97" s="127">
        <f>2438.07212</f>
        <v>2438.0721199999998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273.89522</f>
        <v>273.89521999999999</v>
      </c>
      <c r="G98" s="127">
        <f>8757.6975</f>
        <v>8757.6975000000002</v>
      </c>
      <c r="H98" s="127">
        <f t="shared" si="9"/>
        <v>1856.3024999999998</v>
      </c>
      <c r="I98" s="127">
        <f>5279.84668</f>
        <v>5279.8466799999997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274.2233</f>
        <v>274.22329999999999</v>
      </c>
      <c r="G99" s="127">
        <f>7919.40249</f>
        <v>7919.4024900000004</v>
      </c>
      <c r="H99" s="127">
        <f t="shared" si="9"/>
        <v>2192.5975099999996</v>
      </c>
      <c r="I99" s="127">
        <f>4507.85468</f>
        <v>4507.8546800000004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282.39152</f>
        <v>282.39152000000001</v>
      </c>
      <c r="G100" s="127">
        <f>4978.38403</f>
        <v>4978.3840300000002</v>
      </c>
      <c r="H100" s="127">
        <f t="shared" si="9"/>
        <v>1774.6159699999998</v>
      </c>
      <c r="I100" s="127">
        <f>4137.69259</f>
        <v>4137.6925899999997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11.62756</f>
        <v>11.627560000000001</v>
      </c>
      <c r="G101" s="132">
        <f>4944.34341</f>
        <v>4944.3434100000004</v>
      </c>
      <c r="H101" s="132">
        <f t="shared" si="9"/>
        <v>2651.6565899999996</v>
      </c>
      <c r="I101" s="132">
        <f>5421.68229</f>
        <v>5421.6822899999997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28.45457</f>
        <v>28.45457</v>
      </c>
      <c r="G102" s="75">
        <f>1858.41283</f>
        <v>1858.41283</v>
      </c>
      <c r="H102" s="75">
        <f t="shared" si="9"/>
        <v>2045.58717</v>
      </c>
      <c r="I102" s="75">
        <f>1262.81337</f>
        <v>1262.8133700000001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1.6023</f>
        <v>1.6023000000000001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0.5498</f>
        <v>0.54979999999999996</v>
      </c>
      <c r="G105" s="98">
        <f>20.65116</f>
        <v>20.651160000000001</v>
      </c>
      <c r="H105" s="139">
        <f>E105-G105</f>
        <v>29.348839999999999</v>
      </c>
      <c r="I105" s="98">
        <f>7.1496</f>
        <v>7.1496000000000004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1.50492</f>
        <v>1.50492</v>
      </c>
      <c r="G106" s="139">
        <f>19.7829</f>
        <v>19.782900000000001</v>
      </c>
      <c r="H106" s="139">
        <f t="shared" ref="H106" si="10">E106-G106</f>
        <v>-19.782900000000001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929.28633999999988</v>
      </c>
      <c r="G107" s="76">
        <f t="shared" si="12"/>
        <v>56240.712680000004</v>
      </c>
      <c r="H107" s="76">
        <f t="shared" si="12"/>
        <v>19383.287319999996</v>
      </c>
      <c r="I107" s="76">
        <f t="shared" si="12"/>
        <v>62456.78269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323.63954999999999</v>
      </c>
      <c r="G128" s="11">
        <f t="shared" si="13"/>
        <v>39613.294629999997</v>
      </c>
      <c r="H128" s="11">
        <f t="shared" si="13"/>
        <v>32693.70537</v>
      </c>
      <c r="I128" s="11">
        <f t="shared" si="13"/>
        <v>40916.021430000001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323.63955</f>
        <v>323.63954999999999</v>
      </c>
      <c r="G129" s="23">
        <f>35185.90247</f>
        <v>35185.902470000001</v>
      </c>
      <c r="H129" s="23">
        <f>E129-G129</f>
        <v>22376.097529999999</v>
      </c>
      <c r="I129" s="23">
        <f>36252.9152</f>
        <v>36252.915200000003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4547.79998</f>
        <v>4547.7999799999998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155.552</f>
        <v>155.55199999999999</v>
      </c>
      <c r="G132" s="95">
        <f>9008.2688+2713.87</f>
        <v>11722.138800000001</v>
      </c>
      <c r="H132" s="95">
        <f>E132-G132</f>
        <v>40773.861199999999</v>
      </c>
      <c r="I132" s="95">
        <f>29479.80459</f>
        <v>29479.80459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678.61032</v>
      </c>
      <c r="G133" s="94">
        <f t="shared" ref="G133" si="14">G134+G139+G142</f>
        <v>48005.113265</v>
      </c>
      <c r="H133" s="94">
        <f>H134+H139+H142</f>
        <v>32159.886735</v>
      </c>
      <c r="I133" s="94">
        <f>I134+I139+I142</f>
        <v>49913.577289999994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525.02137000000005</v>
      </c>
      <c r="G134" s="125">
        <f>G135+G136+G138+G137</f>
        <v>35385.040424999999</v>
      </c>
      <c r="H134" s="125">
        <f>H135+H136+H137+H138</f>
        <v>23693.959575000001</v>
      </c>
      <c r="I134" s="125">
        <f>I135+I136+I137+I138</f>
        <v>39271.699159999996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151.29587</f>
        <v>151.29587000000001</v>
      </c>
      <c r="G135" s="127">
        <v>7029.2775099999999</v>
      </c>
      <c r="H135" s="127">
        <f>E135-G135</f>
        <v>10744.72249</v>
      </c>
      <c r="I135" s="127">
        <f>6198.51612</f>
        <v>6198.5161200000002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114.18718</f>
        <v>114.18718</v>
      </c>
      <c r="G136" s="127">
        <v>10580.221804999999</v>
      </c>
      <c r="H136" s="127">
        <f>E136-G136</f>
        <v>4358.7781950000008</v>
      </c>
      <c r="I136" s="127">
        <f>10471.25801</f>
        <v>10471.25801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164.54972</f>
        <v>164.54972000000001</v>
      </c>
      <c r="G137" s="127">
        <v>9387.9061399999991</v>
      </c>
      <c r="H137" s="127">
        <f>E137-G137</f>
        <v>3663.0938600000009</v>
      </c>
      <c r="I137" s="127">
        <f>11758.74359</f>
        <v>11758.74359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94.9886</f>
        <v>94.988600000000005</v>
      </c>
      <c r="G138" s="127">
        <v>8387.6349699999992</v>
      </c>
      <c r="H138" s="127">
        <f>E138-G138</f>
        <v>4927.3650300000008</v>
      </c>
      <c r="I138" s="127">
        <f>10843.18144</f>
        <v>10843.18144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13.731780000000001</v>
      </c>
      <c r="G139" s="132">
        <f>SUM(G140:G141)</f>
        <v>8696.5604900000017</v>
      </c>
      <c r="H139" s="132">
        <f>H140+H141</f>
        <v>233.43950999999919</v>
      </c>
      <c r="I139" s="132">
        <f>SUM(I140:I141)</f>
        <v>6426.03683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6.83872</f>
        <v>6.8387200000000004</v>
      </c>
      <c r="G140" s="127">
        <f>8309.14909</f>
        <v>8309.1490900000008</v>
      </c>
      <c r="H140" s="127">
        <f t="shared" ref="H140:H148" si="15">E140-G140</f>
        <v>120.8509099999992</v>
      </c>
      <c r="I140" s="127">
        <f>6269.83106</f>
        <v>6269.8310600000004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6.89306</f>
        <v>6.8930600000000002</v>
      </c>
      <c r="G141" s="127">
        <f>387.4114</f>
        <v>387.41140000000001</v>
      </c>
      <c r="H141" s="127">
        <f t="shared" si="15"/>
        <v>112.58859999999999</v>
      </c>
      <c r="I141" s="127">
        <f>156.20577</f>
        <v>156.20577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139.85717</f>
        <v>139.85717</v>
      </c>
      <c r="G142" s="75">
        <f>3923.51235</f>
        <v>3923.51235</v>
      </c>
      <c r="H142" s="75">
        <f t="shared" si="15"/>
        <v>8232.4876499999991</v>
      </c>
      <c r="I142" s="75">
        <f>4215.8413</f>
        <v>4215.8413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0.251</f>
        <v>0.251</v>
      </c>
      <c r="G144" s="98">
        <f>256.137</f>
        <v>256.137</v>
      </c>
      <c r="H144" s="98">
        <f t="shared" si="15"/>
        <v>-6.1370000000000005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20.72737</f>
        <v>20.727370000000001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1.544</f>
        <v>1.544</v>
      </c>
      <c r="G147" s="98">
        <f>40.66873</f>
        <v>40.668729999999996</v>
      </c>
      <c r="H147" s="139">
        <f t="shared" si="15"/>
        <v>235.33127000000002</v>
      </c>
      <c r="I147" s="98">
        <f>26.67343</f>
        <v>26.67343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0.1844</f>
        <v>0.18440000000000001</v>
      </c>
      <c r="G148" s="139">
        <f>112.07349</f>
        <v>112.07349000000001</v>
      </c>
      <c r="H148" s="139">
        <f t="shared" si="15"/>
        <v>-112.07349000000001</v>
      </c>
      <c r="I148" s="139">
        <f>95.18393</f>
        <v>95.183930000000004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1180.5086400000002</v>
      </c>
      <c r="G150" s="76">
        <f>G128+G132+G133+G143+G144+G145+G146+G147+G148</f>
        <v>101765.138465</v>
      </c>
      <c r="H150" s="76">
        <f>H128+H132+H133+H143+H144+H145+H146+H147+H148</f>
        <v>105874.861535</v>
      </c>
      <c r="I150" s="76">
        <f>I128+I132+I133+I143+I144+I145+I146+I147+I148</f>
        <v>122724.20267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39.87092</f>
        <v>39.870919999999998</v>
      </c>
      <c r="F175" s="275">
        <f>678.41736</f>
        <v>678.41736000000003</v>
      </c>
      <c r="G175" s="43">
        <f>D175-F175-F176</f>
        <v>2346.02034</v>
      </c>
      <c r="H175" s="275">
        <f>1064.74223</f>
        <v>1064.7422300000001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1198.5623</f>
        <v>1198.5623000000001</v>
      </c>
      <c r="G176" s="216"/>
      <c r="H176" s="152">
        <f>1288.95724</f>
        <v>1288.95724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4.6776400000000002</v>
      </c>
      <c r="F178" s="181">
        <f>F179+F180+F181</f>
        <v>3850.7141000000001</v>
      </c>
      <c r="G178" s="181">
        <f>D178-F178</f>
        <v>2483.2858999999999</v>
      </c>
      <c r="H178" s="181">
        <f>H179+H180+H181</f>
        <v>4847.0723900000003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2.025</f>
        <v>2.0249999999999999</v>
      </c>
      <c r="F179" s="127">
        <f>1857.59014</f>
        <v>1857.59014</v>
      </c>
      <c r="G179" s="127"/>
      <c r="H179" s="127">
        <f>2242.11321</f>
        <v>2242.11321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2.65264</f>
        <v>2.6526399999999999</v>
      </c>
      <c r="F180" s="127">
        <f>1206.94762</f>
        <v>1206.9476199999999</v>
      </c>
      <c r="G180" s="127"/>
      <c r="H180" s="127">
        <f>1588.43748</f>
        <v>1588.4374800000001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</f>
        <v>0</v>
      </c>
      <c r="F181" s="192">
        <f>786.17634</f>
        <v>786.17633999999998</v>
      </c>
      <c r="G181" s="192"/>
      <c r="H181" s="192">
        <f>1016.5217</f>
        <v>1016.5217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44.548559999999995</v>
      </c>
      <c r="F184" s="194">
        <f>F175+F176+F177+F178+F182+F183</f>
        <v>5809.8631400000004</v>
      </c>
      <c r="G184" s="194">
        <f>D184-F184</f>
        <v>5013.1368599999996</v>
      </c>
      <c r="H184" s="194">
        <f>H175+H176+H177+H178+H182+H183</f>
        <v>7256.1818800000001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1403.14473</f>
        <v>1403.14473</v>
      </c>
      <c r="F204" s="124">
        <f>35653.84158</f>
        <v>35653.84158</v>
      </c>
      <c r="G204" s="124">
        <f>D204-F204</f>
        <v>10628.15842</v>
      </c>
      <c r="H204" s="124">
        <f>37528.86826</f>
        <v>37528.868260000003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0.1012</f>
        <v>0.1012</v>
      </c>
      <c r="F205" s="124">
        <f>25.46932</f>
        <v>25.46932</v>
      </c>
      <c r="G205" s="124">
        <f>D205-F205</f>
        <v>74.530680000000004</v>
      </c>
      <c r="H205" s="124">
        <f>18.91675</f>
        <v>18.91675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1403.24593</v>
      </c>
      <c r="F207" s="190">
        <f>SUM(F204:F206)</f>
        <v>35679.310899999997</v>
      </c>
      <c r="G207" s="190">
        <f>D207-F207</f>
        <v>10738.689100000003</v>
      </c>
      <c r="H207" s="190">
        <f>SUM(H204:H206)</f>
        <v>37547.78501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87.198689999999999</v>
      </c>
      <c r="F249" s="75">
        <f>F250+F251</f>
        <v>3144.0765899999997</v>
      </c>
      <c r="G249" s="75">
        <f>D249-F249</f>
        <v>842.92341000000033</v>
      </c>
      <c r="H249" s="75">
        <f>H250+H251</f>
        <v>2445.6428700000001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86.78679</f>
        <v>86.786789999999996</v>
      </c>
      <c r="F250" s="75">
        <f>2660.0278</f>
        <v>2660.0277999999998</v>
      </c>
      <c r="G250" s="75"/>
      <c r="H250" s="75">
        <f>1951.06792</f>
        <v>1951.06792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0.4119</f>
        <v>0.41189999999999999</v>
      </c>
      <c r="F251" s="124">
        <f>484.04879</f>
        <v>484.04879</v>
      </c>
      <c r="G251" s="168"/>
      <c r="H251" s="124">
        <f>494.57495</f>
        <v>494.57495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36.53558</f>
        <v>36.535580000000003</v>
      </c>
      <c r="F252" s="75">
        <f>4747.80039</f>
        <v>4747.8003900000003</v>
      </c>
      <c r="G252" s="75">
        <f>D252-F252</f>
        <v>-134.80039000000033</v>
      </c>
      <c r="H252" s="75">
        <f>4378.65539</f>
        <v>4378.6553899999999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123.73427000000001</v>
      </c>
      <c r="F253" s="190">
        <f>SUM(F249,F252)</f>
        <v>7891.87698</v>
      </c>
      <c r="G253" s="190">
        <f>D253-F253</f>
        <v>708.12302</v>
      </c>
      <c r="H253" s="190">
        <f>SUM(H249,H252)</f>
        <v>6824.2982599999996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127.62741</v>
      </c>
      <c r="F295" s="75">
        <f>F296+F297</f>
        <v>3580.5278399999997</v>
      </c>
      <c r="G295" s="75">
        <f>D295-F295</f>
        <v>1509.4721600000003</v>
      </c>
      <c r="H295" s="75">
        <f>H296+H297</f>
        <v>3067.77898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126.46001</f>
        <v>126.46001</v>
      </c>
      <c r="F296" s="75">
        <f>3162.13143</f>
        <v>3162.1314299999999</v>
      </c>
      <c r="G296" s="75"/>
      <c r="H296" s="75">
        <f>2660.85475</f>
        <v>2660.85475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1.1674</f>
        <v>1.1674</v>
      </c>
      <c r="F297" s="124">
        <f>418.39641</f>
        <v>418.39641</v>
      </c>
      <c r="G297" s="168"/>
      <c r="H297" s="124">
        <f>406.92423</f>
        <v>406.92423000000002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25.14772</f>
        <v>25.14772</v>
      </c>
      <c r="F298" s="75">
        <f>2053.57651</f>
        <v>2053.5765099999999</v>
      </c>
      <c r="G298" s="75">
        <f>D298-F298</f>
        <v>927.42349000000013</v>
      </c>
      <c r="H298" s="75">
        <f>2380.12788</f>
        <v>2380.12788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152.77512999999999</v>
      </c>
      <c r="F299" s="190">
        <f>SUM(F295,F298)</f>
        <v>5634.1043499999996</v>
      </c>
      <c r="G299" s="190">
        <f>D299-F299</f>
        <v>2436.8956500000004</v>
      </c>
      <c r="H299" s="190">
        <f>SUM(H295,H298)</f>
        <v>5447.9068600000001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5.35893</f>
        <v>5.35893</v>
      </c>
      <c r="F350" s="124">
        <f>359.55061</f>
        <v>359.55061000000001</v>
      </c>
      <c r="G350" s="124">
        <f>D350-F350</f>
        <v>440.44938999999999</v>
      </c>
      <c r="H350" s="124">
        <f>335.57653</f>
        <v>335.57652999999999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8.83271</f>
        <v>8.8327100000000005</v>
      </c>
      <c r="F351" s="124">
        <f>1033.54469</f>
        <v>1033.5446899999999</v>
      </c>
      <c r="G351" s="124">
        <f>D351-F351</f>
        <v>2007.4553100000001</v>
      </c>
      <c r="H351" s="124">
        <f>1192.81185</f>
        <v>1192.81185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14.19164</v>
      </c>
      <c r="F354" s="190">
        <f>SUM(F350:F353)</f>
        <v>1396.7959199999998</v>
      </c>
      <c r="G354" s="190">
        <f>D354-F354</f>
        <v>2454.2040800000004</v>
      </c>
      <c r="H354" s="190">
        <f>H350+H351+H352+H353</f>
        <v>1530.7094700000002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156.40442000000002</v>
      </c>
      <c r="G380" s="252">
        <f t="shared" si="17"/>
        <v>7868.9733299999998</v>
      </c>
      <c r="H380" s="252">
        <f>H384+H383+H382+H381</f>
        <v>15100.026669999999</v>
      </c>
      <c r="I380" s="252">
        <f t="shared" si="17"/>
        <v>6702.7041600000002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53.2548</f>
        <v>53.254800000000003</v>
      </c>
      <c r="G381" s="256">
        <f>4578.07601</f>
        <v>4578.0760099999998</v>
      </c>
      <c r="H381" s="256">
        <f t="shared" ref="H381:H385" si="18">E381-G381</f>
        <v>8611.9239899999993</v>
      </c>
      <c r="I381" s="256">
        <f>2889.87235</f>
        <v>2889.8723500000001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806.0337</f>
        <v>806.03369999999995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3.69002</f>
        <v>3.6900200000000001</v>
      </c>
      <c r="G383" s="256">
        <f>1256.91376</f>
        <v>1256.9137599999999</v>
      </c>
      <c r="H383" s="256">
        <f t="shared" si="18"/>
        <v>226.08624000000009</v>
      </c>
      <c r="I383" s="256">
        <f>1400.83381</f>
        <v>1400.8338100000001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99.4596</f>
        <v>99.459599999999995</v>
      </c>
      <c r="G384" s="256">
        <f>1121.54286</f>
        <v>1121.54286</v>
      </c>
      <c r="H384" s="256">
        <f t="shared" si="18"/>
        <v>3741.45714</v>
      </c>
      <c r="I384" s="256">
        <f>1605.9643</f>
        <v>1605.9643000000001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2132.18278</f>
        <v>2132.1827800000001</v>
      </c>
      <c r="H385" s="267">
        <f t="shared" si="18"/>
        <v>3367.8172199999999</v>
      </c>
      <c r="I385" s="267">
        <f>5096.83428</f>
        <v>5096.83428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7.7612100000000002</v>
      </c>
      <c r="G386" s="268">
        <f>G388+G387</f>
        <v>1725.222</v>
      </c>
      <c r="H386" s="268">
        <f>E386-G386</f>
        <v>6274.7780000000002</v>
      </c>
      <c r="I386" s="268">
        <f>I388+I387</f>
        <v>2275.9024800000002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555.89392</f>
        <v>555.89391999999998</v>
      </c>
      <c r="H387" s="256"/>
      <c r="I387" s="256">
        <f>776.64504</f>
        <v>776.64503999999999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7.76121</f>
        <v>7.7612100000000002</v>
      </c>
      <c r="G388" s="277">
        <f>1169.32808</f>
        <v>1169.32808</v>
      </c>
      <c r="H388" s="277"/>
      <c r="I388" s="277">
        <f>1499.25744</f>
        <v>1499.2574400000001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0.45352</f>
        <v>0.45351999999999998</v>
      </c>
      <c r="G390" s="267">
        <f>53.20796</f>
        <v>53.20796</v>
      </c>
      <c r="H390" s="267">
        <f>E390-G390</f>
        <v>-53.20796</v>
      </c>
      <c r="I390" s="267">
        <f>46.62734</f>
        <v>46.627339999999997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164.61915000000002</v>
      </c>
      <c r="G391" s="286">
        <f t="shared" si="19"/>
        <v>11779.70247</v>
      </c>
      <c r="H391" s="286">
        <f>H380+H385+H386+H389+H390</f>
        <v>24702.297530000003</v>
      </c>
      <c r="I391" s="286">
        <f t="shared" si="19"/>
        <v>14122.14176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65.203199999999995</v>
      </c>
      <c r="F413" s="26">
        <f>SUM(F414:F415)</f>
        <v>148.85849999999999</v>
      </c>
      <c r="G413" s="85">
        <f>D413-F413</f>
        <v>1086.1415</v>
      </c>
      <c r="H413" s="26">
        <f>SUM(H414:H415)</f>
        <v>149.65921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52.7905</f>
        <v>52.790500000000002</v>
      </c>
      <c r="F414" s="205">
        <f>119.7715</f>
        <v>119.7715</v>
      </c>
      <c r="G414" s="206"/>
      <c r="H414" s="205">
        <f>121.67601</f>
        <v>121.67601000000001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12.4127</f>
        <v>12.412699999999999</v>
      </c>
      <c r="F415" s="208">
        <f>29.087</f>
        <v>29.087</v>
      </c>
      <c r="G415" s="209"/>
      <c r="H415" s="208">
        <f>27.9832</f>
        <v>27.9832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65.203199999999995</v>
      </c>
      <c r="F423" s="40">
        <f>F413+F416+F419+F422</f>
        <v>148.85849999999999</v>
      </c>
      <c r="G423" s="41"/>
      <c r="H423" s="40">
        <f>H413+H416+H419+H422</f>
        <v>149.65921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28&amp;R15.07.2024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Øystein Hermansen</cp:lastModifiedBy>
  <cp:lastPrinted>2022-11-14T12:51:47Z</cp:lastPrinted>
  <dcterms:created xsi:type="dcterms:W3CDTF">2022-08-01T13:23:35Z</dcterms:created>
  <dcterms:modified xsi:type="dcterms:W3CDTF">2024-07-15T06:33:43Z</dcterms:modified>
</cp:coreProperties>
</file>