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Script\excel\output\2023\"/>
    </mc:Choice>
  </mc:AlternateContent>
  <xr:revisionPtr revIDLastSave="0" documentId="13_ncr:1_{45007CCF-65BD-4B10-B619-CC115B4B0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ukesstatistikk!$B$1:$J$333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331" i="1"/>
  <c r="H329" i="1"/>
  <c r="F329" i="1"/>
  <c r="E329" i="1"/>
  <c r="H328" i="1"/>
  <c r="F328" i="1"/>
  <c r="F327" i="1" s="1"/>
  <c r="G327" i="1" s="1"/>
  <c r="E328" i="1"/>
  <c r="H327" i="1"/>
  <c r="E327" i="1"/>
  <c r="H326" i="1"/>
  <c r="F326" i="1"/>
  <c r="E326" i="1"/>
  <c r="H325" i="1"/>
  <c r="H324" i="1" s="1"/>
  <c r="F325" i="1"/>
  <c r="F324" i="1" s="1"/>
  <c r="G324" i="1" s="1"/>
  <c r="E325" i="1"/>
  <c r="E324" i="1" s="1"/>
  <c r="H323" i="1"/>
  <c r="F323" i="1"/>
  <c r="E323" i="1"/>
  <c r="E321" i="1" s="1"/>
  <c r="E331" i="1" s="1"/>
  <c r="H322" i="1"/>
  <c r="H321" i="1" s="1"/>
  <c r="F322" i="1"/>
  <c r="E322" i="1"/>
  <c r="F321" i="1"/>
  <c r="G321" i="1" s="1"/>
  <c r="G331" i="1" s="1"/>
  <c r="I298" i="1"/>
  <c r="G298" i="1"/>
  <c r="H298" i="1" s="1"/>
  <c r="F298" i="1"/>
  <c r="I297" i="1"/>
  <c r="H297" i="1"/>
  <c r="G297" i="1"/>
  <c r="F297" i="1"/>
  <c r="I296" i="1"/>
  <c r="I294" i="1" s="1"/>
  <c r="G296" i="1"/>
  <c r="F296" i="1"/>
  <c r="F294" i="1" s="1"/>
  <c r="I295" i="1"/>
  <c r="G295" i="1"/>
  <c r="F295" i="1"/>
  <c r="G294" i="1"/>
  <c r="H294" i="1" s="1"/>
  <c r="I293" i="1"/>
  <c r="H293" i="1"/>
  <c r="G293" i="1"/>
  <c r="F293" i="1"/>
  <c r="I292" i="1"/>
  <c r="G292" i="1"/>
  <c r="H292" i="1" s="1"/>
  <c r="H288" i="1" s="1"/>
  <c r="H299" i="1" s="1"/>
  <c r="F292" i="1"/>
  <c r="I291" i="1"/>
  <c r="I288" i="1" s="1"/>
  <c r="H291" i="1"/>
  <c r="G291" i="1"/>
  <c r="F291" i="1"/>
  <c r="F288" i="1" s="1"/>
  <c r="I290" i="1"/>
  <c r="G290" i="1"/>
  <c r="H290" i="1" s="1"/>
  <c r="F290" i="1"/>
  <c r="I289" i="1"/>
  <c r="H289" i="1"/>
  <c r="G289" i="1"/>
  <c r="F289" i="1"/>
  <c r="G288" i="1"/>
  <c r="G299" i="1" s="1"/>
  <c r="E288" i="1"/>
  <c r="E299" i="1" s="1"/>
  <c r="D288" i="1"/>
  <c r="D299" i="1" s="1"/>
  <c r="H280" i="1"/>
  <c r="F280" i="1"/>
  <c r="D262" i="1"/>
  <c r="H261" i="1"/>
  <c r="F261" i="1"/>
  <c r="E261" i="1"/>
  <c r="H260" i="1"/>
  <c r="F260" i="1"/>
  <c r="G260" i="1" s="1"/>
  <c r="E260" i="1"/>
  <c r="H259" i="1"/>
  <c r="G259" i="1"/>
  <c r="F259" i="1"/>
  <c r="E259" i="1"/>
  <c r="H258" i="1"/>
  <c r="H262" i="1" s="1"/>
  <c r="F258" i="1"/>
  <c r="G258" i="1" s="1"/>
  <c r="E258" i="1"/>
  <c r="E262" i="1" s="1"/>
  <c r="D251" i="1"/>
  <c r="F207" i="1"/>
  <c r="D207" i="1"/>
  <c r="G207" i="1" s="1"/>
  <c r="G206" i="1"/>
  <c r="H205" i="1"/>
  <c r="G205" i="1"/>
  <c r="F205" i="1"/>
  <c r="E205" i="1"/>
  <c r="H204" i="1"/>
  <c r="H207" i="1" s="1"/>
  <c r="F204" i="1"/>
  <c r="G204" i="1" s="1"/>
  <c r="E204" i="1"/>
  <c r="E207" i="1" s="1"/>
  <c r="D184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E179" i="1"/>
  <c r="E178" i="1" s="1"/>
  <c r="F178" i="1"/>
  <c r="G178" i="1" s="1"/>
  <c r="H177" i="1"/>
  <c r="G177" i="1"/>
  <c r="F177" i="1"/>
  <c r="E177" i="1"/>
  <c r="H176" i="1"/>
  <c r="F176" i="1"/>
  <c r="E176" i="1"/>
  <c r="H175" i="1"/>
  <c r="H184" i="1" s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G140" i="1"/>
  <c r="H140" i="1" s="1"/>
  <c r="H139" i="1" s="1"/>
  <c r="F140" i="1"/>
  <c r="I139" i="1"/>
  <c r="F139" i="1"/>
  <c r="E139" i="1"/>
  <c r="I138" i="1"/>
  <c r="H138" i="1"/>
  <c r="F138" i="1"/>
  <c r="I137" i="1"/>
  <c r="H137" i="1"/>
  <c r="F137" i="1"/>
  <c r="I136" i="1"/>
  <c r="H136" i="1"/>
  <c r="F136" i="1"/>
  <c r="I135" i="1"/>
  <c r="G134" i="1"/>
  <c r="F135" i="1"/>
  <c r="I134" i="1"/>
  <c r="I133" i="1" s="1"/>
  <c r="F134" i="1"/>
  <c r="F133" i="1" s="1"/>
  <c r="E134" i="1"/>
  <c r="E133" i="1"/>
  <c r="I132" i="1"/>
  <c r="F132" i="1"/>
  <c r="H131" i="1"/>
  <c r="I130" i="1"/>
  <c r="G130" i="1"/>
  <c r="H130" i="1" s="1"/>
  <c r="H128" i="1" s="1"/>
  <c r="F130" i="1"/>
  <c r="I129" i="1"/>
  <c r="I128" i="1" s="1"/>
  <c r="I150" i="1" s="1"/>
  <c r="H129" i="1"/>
  <c r="G129" i="1"/>
  <c r="F129" i="1"/>
  <c r="F128" i="1" s="1"/>
  <c r="F150" i="1" s="1"/>
  <c r="G128" i="1"/>
  <c r="E128" i="1"/>
  <c r="E150" i="1" s="1"/>
  <c r="C126" i="1"/>
  <c r="H106" i="1"/>
  <c r="H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H97" i="1" s="1"/>
  <c r="F97" i="1"/>
  <c r="F96" i="1" s="1"/>
  <c r="F95" i="1" s="1"/>
  <c r="E96" i="1"/>
  <c r="E95" i="1" s="1"/>
  <c r="E107" i="1" s="1"/>
  <c r="D96" i="1"/>
  <c r="D95" i="1"/>
  <c r="D107" i="1" s="1"/>
  <c r="I94" i="1"/>
  <c r="G94" i="1"/>
  <c r="H94" i="1" s="1"/>
  <c r="H92" i="1" s="1"/>
  <c r="F94" i="1"/>
  <c r="I93" i="1"/>
  <c r="H93" i="1"/>
  <c r="G93" i="1"/>
  <c r="F93" i="1"/>
  <c r="I92" i="1"/>
  <c r="I107" i="1" s="1"/>
  <c r="G92" i="1"/>
  <c r="F92" i="1"/>
  <c r="E92" i="1"/>
  <c r="C89" i="1"/>
  <c r="H85" i="1"/>
  <c r="F85" i="1"/>
  <c r="D85" i="1"/>
  <c r="G61" i="1"/>
  <c r="G60" i="1"/>
  <c r="H55" i="1"/>
  <c r="F55" i="1"/>
  <c r="G32" i="1" s="1"/>
  <c r="H32" i="1" s="1"/>
  <c r="E55" i="1"/>
  <c r="E44" i="1"/>
  <c r="D44" i="1"/>
  <c r="H43" i="1"/>
  <c r="H42" i="1"/>
  <c r="H41" i="1"/>
  <c r="H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F34" i="1" s="1"/>
  <c r="I35" i="1"/>
  <c r="G35" i="1"/>
  <c r="H35" i="1" s="1"/>
  <c r="F35" i="1"/>
  <c r="I33" i="1"/>
  <c r="H33" i="1"/>
  <c r="G33" i="1"/>
  <c r="F33" i="1"/>
  <c r="I32" i="1"/>
  <c r="F32" i="1"/>
  <c r="I31" i="1"/>
  <c r="G31" i="1"/>
  <c r="H31" i="1" s="1"/>
  <c r="F31" i="1"/>
  <c r="I30" i="1"/>
  <c r="G30" i="1"/>
  <c r="H30" i="1" s="1"/>
  <c r="F30" i="1"/>
  <c r="I29" i="1"/>
  <c r="H29" i="1"/>
  <c r="G29" i="1"/>
  <c r="F29" i="1"/>
  <c r="I28" i="1"/>
  <c r="I27" i="1" s="1"/>
  <c r="G28" i="1"/>
  <c r="H28" i="1" s="1"/>
  <c r="F28" i="1"/>
  <c r="F27" i="1" s="1"/>
  <c r="I25" i="1"/>
  <c r="H25" i="1"/>
  <c r="H23" i="1" s="1"/>
  <c r="G25" i="1"/>
  <c r="F25" i="1"/>
  <c r="I24" i="1"/>
  <c r="I23" i="1" s="1"/>
  <c r="G24" i="1"/>
  <c r="H24" i="1" s="1"/>
  <c r="F24" i="1"/>
  <c r="F23" i="1" s="1"/>
  <c r="H16" i="1"/>
  <c r="F16" i="1"/>
  <c r="D16" i="1"/>
  <c r="I34" i="1" l="1"/>
  <c r="I26" i="1"/>
  <c r="I44" i="1" s="1"/>
  <c r="F26" i="1"/>
  <c r="F44" i="1" s="1"/>
  <c r="G34" i="1"/>
  <c r="H34" i="1" s="1"/>
  <c r="F299" i="1"/>
  <c r="H27" i="1"/>
  <c r="H96" i="1"/>
  <c r="H95" i="1" s="1"/>
  <c r="H107" i="1" s="1"/>
  <c r="E184" i="1"/>
  <c r="I299" i="1"/>
  <c r="G184" i="1"/>
  <c r="F107" i="1"/>
  <c r="H331" i="1"/>
  <c r="G23" i="1"/>
  <c r="G27" i="1"/>
  <c r="G96" i="1"/>
  <c r="G95" i="1" s="1"/>
  <c r="G107" i="1" s="1"/>
  <c r="G55" i="1"/>
  <c r="H135" i="1"/>
  <c r="H134" i="1" s="1"/>
  <c r="H133" i="1" s="1"/>
  <c r="H150" i="1" s="1"/>
  <c r="G139" i="1"/>
  <c r="G133" i="1" s="1"/>
  <c r="G150" i="1" s="1"/>
  <c r="F184" i="1"/>
  <c r="F331" i="1"/>
  <c r="F262" i="1"/>
  <c r="G262" i="1" s="1"/>
  <c r="G26" i="1" l="1"/>
  <c r="G44" i="1" s="1"/>
  <c r="H26" i="1"/>
  <c r="H44" i="1" s="1"/>
</calcChain>
</file>

<file path=xl/sharedStrings.xml><?xml version="1.0" encoding="utf-8"?>
<sst xmlns="http://schemas.openxmlformats.org/spreadsheetml/2006/main" count="330" uniqueCount="148">
  <si>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</si>
  <si>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</si>
  <si>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</si>
  <si>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</si>
  <si>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</si>
  <si>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</si>
  <si>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</si>
  <si>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</si>
  <si>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</si>
  <si>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</si>
  <si>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</si>
  <si>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</si>
  <si>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</si>
  <si>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</si>
  <si>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</si>
  <si>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</si>
  <si>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</si>
  <si>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</si>
  <si>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</si>
  <si>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</si>
  <si>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</si>
  <si>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</si>
  <si>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</si>
  <si>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</si>
  <si>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</si>
  <si>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</si>
  <si>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</si>
  <si>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</si>
  <si>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</si>
  <si>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</si>
  <si>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</si>
  <si>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</si>
  <si>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</si>
  <si>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</si>
  <si>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</si>
  <si>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</si>
  <si>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</si>
  <si>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</si>
  <si>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</si>
  <si>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</si>
  <si>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</si>
  <si>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</si>
  <si>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</si>
  <si>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</si>
  <si>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</si>
  <si>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</si>
  <si>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</si>
  <si>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</si>
  <si>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</si>
  <si>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</si>
  <si>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</si>
  <si>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</si>
  <si>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</si>
  <si>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</si>
  <si>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</si>
  <si>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</si>
  <si>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</si>
  <si>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</si>
  <si>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</si>
  <si>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</si>
  <si>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</si>
  <si>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</si>
  <si>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</si>
  <si>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</si>
  <si>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</si>
  <si>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</si>
  <si>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</si>
  <si>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</si>
  <si>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</si>
  <si>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</si>
  <si>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</si>
  <si>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</si>
  <si>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</si>
  <si>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</si>
  <si>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</si>
  <si>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</si>
  <si>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</si>
  <si>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</si>
  <si>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</si>
  <si>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</si>
  <si>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</si>
  <si>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</si>
  <si>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</si>
  <si>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</si>
  <si>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</si>
  <si>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</si>
  <si>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</si>
  <si>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</si>
  <si>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</si>
  <si>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</si>
  <si>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</si>
  <si>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</si>
  <si>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</si>
  <si>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</si>
  <si>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</si>
  <si>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</si>
  <si>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</si>
  <si>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</si>
  <si>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</si>
  <si>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</si>
  <si>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</si>
  <si>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</si>
  <si>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</si>
  <si>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</si>
  <si>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</si>
  <si>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</si>
  <si>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</si>
  <si>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</si>
  <si>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</si>
  <si>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</si>
  <si>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</si>
  <si>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</si>
  <si>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</si>
  <si>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</si>
  <si>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</si>
  <si>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</si>
  <si>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</si>
  <si>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</si>
  <si>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</si>
  <si>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</si>
  <si>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</si>
  <si>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</si>
  <si>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</si>
  <si>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</si>
  <si>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</si>
  <si>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</si>
  <si>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</si>
  <si>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</si>
  <si>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</si>
  <si>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</si>
  <si>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</si>
  <si>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</si>
  <si>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</si>
  <si>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</si>
  <si>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</si>
  <si>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</si>
  <si>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</si>
  <si>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t>FANGST AV TORSK, HYSE, SEI, BLÅKVEITE, SNABELUER OG REKER I 2023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</si>
  <si>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</si>
  <si>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</si>
  <si>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FANGST UKE 13</t>
  </si>
  <si>
    <t>FANGST T.O.M UKE 13</t>
  </si>
  <si>
    <t>RESTKVOTER UKE 13</t>
  </si>
  <si>
    <t>FANGST T.O.M UKE 13 2022</t>
  </si>
  <si>
    <r>
      <t>3</t>
    </r>
    <r>
      <rPr>
        <sz val="9"/>
        <color indexed="8"/>
        <rFont val="Calibri"/>
        <family val="2"/>
      </rPr>
      <t xml:space="preserve"> Det er fisket 740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</si>
  <si>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337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</si>
  <si>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27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</si>
  <si>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116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</si>
</sst>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18"/>
  <sheetViews>
    <sheetView showGridLines="0" tabSelected="1" showRuler="0" view="pageLayout" topLeftCell="A12" zoomScale="115" zoomScaleNormal="85" zoomScaleSheetLayoutView="100" zoomScalePageLayoutView="115" workbookViewId="0">
      <selection activeCell="H32" sqref="H32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137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138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140</v>
      </c>
      <c r="G22" s="68" t="s">
        <v>141</v>
      </c>
      <c r="H22" s="68" t="s">
        <v>142</v>
      </c>
      <c r="I22" s="68" t="s">
        <v>143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1436.3946000000001</v>
      </c>
      <c r="G23" s="28">
        <f t="shared" si="0"/>
        <v>30386.056909999999</v>
      </c>
      <c r="H23" s="11">
        <f t="shared" si="0"/>
        <v>56440.943090000001</v>
      </c>
      <c r="I23" s="11">
        <f t="shared" si="0"/>
        <v>38953.438159999998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1436.3946</f>
        <v>1436.3946000000001</v>
      </c>
      <c r="G24" s="23">
        <f>30269.24441</f>
        <v>30269.244409999999</v>
      </c>
      <c r="H24" s="23">
        <f>E24-G24</f>
        <v>55775.755590000001</v>
      </c>
      <c r="I24" s="23">
        <f>38769.69459</f>
        <v>38769.694589999999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116.8125</f>
        <v>116.8125</v>
      </c>
      <c r="H25" s="23">
        <f>E25-G25</f>
        <v>665.1875</v>
      </c>
      <c r="I25" s="23">
        <f>183.74357</f>
        <v>183.74357000000001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16094.139819999999</v>
      </c>
      <c r="G26" s="11">
        <f t="shared" si="1"/>
        <v>110373.43167999999</v>
      </c>
      <c r="H26" s="11">
        <f t="shared" si="1"/>
        <v>87196.568320000006</v>
      </c>
      <c r="I26" s="11">
        <f t="shared" si="1"/>
        <v>135062.78472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12827.751339999999</v>
      </c>
      <c r="G27" s="134">
        <f t="shared" ref="G27:I27" si="2">G28+G29+G30+G31+G32</f>
        <v>90682.038969999994</v>
      </c>
      <c r="H27" s="134">
        <f t="shared" si="2"/>
        <v>61968.961030000006</v>
      </c>
      <c r="I27" s="134">
        <f t="shared" si="2"/>
        <v>115695.07094000001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4579.12585</f>
        <v>4579.1258500000004</v>
      </c>
      <c r="G28" s="129">
        <f>24094.62255 - F57</f>
        <v>24094.62255</v>
      </c>
      <c r="H28" s="129">
        <f t="shared" ref="H28:H40" si="3">E28-G28</f>
        <v>15454.37745</v>
      </c>
      <c r="I28" s="129">
        <f>27142.07617 - H57</f>
        <v>27142.07617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4040.88971</f>
        <v>4040.8897099999999</v>
      </c>
      <c r="G29" s="129">
        <f>27739.95025 - F58</f>
        <v>27739.950250000002</v>
      </c>
      <c r="H29" s="129">
        <f t="shared" si="3"/>
        <v>13024.049749999998</v>
      </c>
      <c r="I29" s="129">
        <f>35227.7717 - H58</f>
        <v>35227.771699999998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2896.89336</f>
        <v>2896.89336</v>
      </c>
      <c r="G30" s="129">
        <f>22307.05636 - F59</f>
        <v>22307.056359999999</v>
      </c>
      <c r="H30" s="129">
        <f t="shared" si="3"/>
        <v>14959.943640000001</v>
      </c>
      <c r="I30" s="129">
        <f>29451.12859 - H59</f>
        <v>29451.12859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1310.84242</f>
        <v>1310.8424199999999</v>
      </c>
      <c r="G31" s="129">
        <f>16540.40981 - F60</f>
        <v>16540.409810000001</v>
      </c>
      <c r="H31" s="129">
        <f t="shared" si="3"/>
        <v>8866.590189999999</v>
      </c>
      <c r="I31" s="129">
        <f>23874.09448 - H60</f>
        <v>23874.09448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322.43167</f>
        <v>322.43167</v>
      </c>
      <c r="G33" s="134">
        <f>7940.78957</f>
        <v>7940.7895699999999</v>
      </c>
      <c r="H33" s="134">
        <f t="shared" si="3"/>
        <v>15645.210429999999</v>
      </c>
      <c r="I33" s="134">
        <f>9674.51576</f>
        <v>9674.5157600000002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2943.9568100000001</v>
      </c>
      <c r="G34" s="134">
        <f>G35+G36</f>
        <v>11750.603139999999</v>
      </c>
      <c r="H34" s="134">
        <f t="shared" si="3"/>
        <v>9582.3968600000007</v>
      </c>
      <c r="I34" s="134">
        <f>I35+I36</f>
        <v>9693.1980199999998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2943.95681</f>
        <v>2943.9568100000001</v>
      </c>
      <c r="G35" s="134">
        <f>12619.60314 - F61 - F62</f>
        <v>11750.603139999999</v>
      </c>
      <c r="H35" s="129">
        <f t="shared" si="3"/>
        <v>8382.3968600000007</v>
      </c>
      <c r="I35" s="129">
        <f>10173.19802 - H61 - H62</f>
        <v>9693.1980199999998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5.91</f>
        <v>5.91</v>
      </c>
      <c r="H37" s="141">
        <f t="shared" si="3"/>
        <v>2994.09</v>
      </c>
      <c r="I37" s="141">
        <f>199.24395</f>
        <v>199.24395000000001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65.9049</f>
        <v>65.904899999999998</v>
      </c>
      <c r="G38" s="100">
        <f>368.99203</f>
        <v>368.99203</v>
      </c>
      <c r="H38" s="100">
        <f t="shared" si="3"/>
        <v>482.00797</v>
      </c>
      <c r="I38" s="100">
        <f>339.00182</f>
        <v>339.00182000000001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384</v>
      </c>
      <c r="G39" s="100">
        <f>F61</f>
        <v>869</v>
      </c>
      <c r="H39" s="100">
        <f t="shared" si="3"/>
        <v>2179</v>
      </c>
      <c r="I39" s="100">
        <f>H61</f>
        <v>480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73.19575</f>
        <v>73.195750000000004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18053.638070000001</v>
      </c>
      <c r="G44" s="78">
        <f t="shared" si="4"/>
        <v>149082.95162000001</v>
      </c>
      <c r="H44" s="78">
        <f t="shared" si="4"/>
        <v>149613.04837999999</v>
      </c>
      <c r="I44" s="78">
        <f t="shared" si="4"/>
        <v>182155.40707999998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140</v>
      </c>
      <c r="F54" s="68" t="s">
        <v>141</v>
      </c>
      <c r="G54" s="68" t="s">
        <v>142</v>
      </c>
      <c r="H54" s="68" t="s">
        <v>143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384</v>
      </c>
      <c r="F61" s="141">
        <v>869</v>
      </c>
      <c r="G61" s="141">
        <f>D61-F61</f>
        <v>2131</v>
      </c>
      <c r="H61" s="141">
        <v>480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139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140</v>
      </c>
      <c r="G91" s="15" t="s">
        <v>141</v>
      </c>
      <c r="H91" s="15" t="s">
        <v>142</v>
      </c>
      <c r="I91" s="15" t="s">
        <v>143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5595.64714</v>
      </c>
      <c r="G92" s="11">
        <f t="shared" si="5"/>
        <v>21466.13265</v>
      </c>
      <c r="H92" s="11">
        <f t="shared" si="5"/>
        <v>13332.86735</v>
      </c>
      <c r="I92" s="11">
        <f t="shared" si="5"/>
        <v>26915.112879999997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5595.64714</f>
        <v>5595.64714</v>
      </c>
      <c r="G93" s="23">
        <f>21189.86505</f>
        <v>21189.86505</v>
      </c>
      <c r="H93" s="23">
        <f>E93-G93</f>
        <v>12797.13495</v>
      </c>
      <c r="I93" s="23">
        <f>26551.19289</f>
        <v>26551.192889999998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276.2676</f>
        <v>276.26760000000002</v>
      </c>
      <c r="H94" s="52">
        <f>E94-G94</f>
        <v>535.73239999999998</v>
      </c>
      <c r="I94" s="52">
        <f>363.91999</f>
        <v>363.91998999999998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911.0126600000001</v>
      </c>
      <c r="G95" s="11">
        <f t="shared" si="6"/>
        <v>11435.131359999999</v>
      </c>
      <c r="H95" s="11">
        <f t="shared" si="6"/>
        <v>48064.868640000001</v>
      </c>
      <c r="I95" s="11">
        <f t="shared" si="6"/>
        <v>13491.28817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791.80796000000009</v>
      </c>
      <c r="G96" s="134">
        <f t="shared" si="7"/>
        <v>7227.1914500000003</v>
      </c>
      <c r="H96" s="134">
        <f t="shared" si="7"/>
        <v>37263.808550000002</v>
      </c>
      <c r="I96" s="134">
        <f t="shared" si="7"/>
        <v>9281.8448399999997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164.35203</f>
        <v>164.35203000000001</v>
      </c>
      <c r="G97" s="129">
        <f>1535.41676</f>
        <v>1535.4167600000001</v>
      </c>
      <c r="H97" s="129">
        <f t="shared" ref="H97:H104" si="8">E97-G97</f>
        <v>10348.283240000001</v>
      </c>
      <c r="I97" s="129">
        <f>1699.56281</f>
        <v>1699.5628099999999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172.53164</f>
        <v>172.53164000000001</v>
      </c>
      <c r="G98" s="129">
        <f>2057.92072</f>
        <v>2057.9207200000001</v>
      </c>
      <c r="H98" s="129">
        <f t="shared" si="8"/>
        <v>10607.17928</v>
      </c>
      <c r="I98" s="129">
        <f>3068.8668</f>
        <v>3068.8667999999998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169.97597</f>
        <v>169.97596999999999</v>
      </c>
      <c r="G99" s="129">
        <f>1720.58773</f>
        <v>1720.58773</v>
      </c>
      <c r="H99" s="129">
        <f t="shared" si="8"/>
        <v>10245.012270000001</v>
      </c>
      <c r="I99" s="129">
        <f>2948.12611</f>
        <v>2948.1261100000002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284.94832</f>
        <v>284.94832000000002</v>
      </c>
      <c r="G100" s="129">
        <f>1913.26624</f>
        <v>1913.2662399999999</v>
      </c>
      <c r="H100" s="129">
        <f t="shared" si="8"/>
        <v>6063.3337600000004</v>
      </c>
      <c r="I100" s="129">
        <f>1565.28912</f>
        <v>1565.2891199999999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23.43607</f>
        <v>23.436070000000001</v>
      </c>
      <c r="G101" s="134">
        <f>3341.36889</f>
        <v>3341.3688900000002</v>
      </c>
      <c r="H101" s="134">
        <f t="shared" si="8"/>
        <v>7049.6311100000003</v>
      </c>
      <c r="I101" s="134">
        <f>3605.04071</f>
        <v>3605.0407100000002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95.76863</f>
        <v>95.768630000000002</v>
      </c>
      <c r="G102" s="77">
        <f>866.57102</f>
        <v>866.57101999999998</v>
      </c>
      <c r="H102" s="77">
        <f t="shared" si="8"/>
        <v>3751.4289800000001</v>
      </c>
      <c r="I102" s="77">
        <f>604.40262</f>
        <v>604.40261999999996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0.2273</f>
        <v>0.2273</v>
      </c>
      <c r="G103" s="100">
        <f>11.13416</f>
        <v>11.13416</v>
      </c>
      <c r="H103" s="100">
        <f t="shared" si="8"/>
        <v>308.86583999999999</v>
      </c>
      <c r="I103" s="100">
        <f>21.61037</f>
        <v>21.61037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6.85462</f>
        <v>6.8546199999999997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6513.74172</v>
      </c>
      <c r="G107" s="78">
        <f t="shared" si="9"/>
        <v>33221.165969999987</v>
      </c>
      <c r="H107" s="78">
        <f t="shared" si="9"/>
        <v>61747.834030000013</v>
      </c>
      <c r="I107" s="78">
        <f t="shared" si="9"/>
        <v>40771.746200000001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146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140</v>
      </c>
      <c r="G127" s="15" t="s">
        <v>141</v>
      </c>
      <c r="H127" s="15" t="s">
        <v>142</v>
      </c>
      <c r="I127" s="15" t="s">
        <v>143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549.15758000000005</v>
      </c>
      <c r="G128" s="11">
        <f t="shared" si="10"/>
        <v>24756.76498</v>
      </c>
      <c r="H128" s="11">
        <f t="shared" si="10"/>
        <v>45784.23502</v>
      </c>
      <c r="I128" s="11">
        <f t="shared" si="10"/>
        <v>20821.503290000001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549.15758</f>
        <v>549.15758000000005</v>
      </c>
      <c r="G129" s="23">
        <f>21547.1339</f>
        <v>21547.133900000001</v>
      </c>
      <c r="H129" s="23">
        <f>E129-G129</f>
        <v>34544.866099999999</v>
      </c>
      <c r="I129" s="23">
        <f>16216.05669</f>
        <v>16216.056689999999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3209.63108</f>
        <v>3209.6310800000001</v>
      </c>
      <c r="H130" s="23">
        <f>E130-G130</f>
        <v>10739.368920000001</v>
      </c>
      <c r="I130" s="23">
        <f>4605.4466</f>
        <v>4605.4466000000002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0</f>
        <v>0</v>
      </c>
      <c r="G132" s="97">
        <f>138.14053+739.87674</f>
        <v>878.01727000000005</v>
      </c>
      <c r="H132" s="97">
        <f>E132-G132</f>
        <v>48293.982730000003</v>
      </c>
      <c r="I132" s="97">
        <f>40.023</f>
        <v>40.023000000000003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1994.86356</v>
      </c>
      <c r="G133" s="96">
        <f t="shared" ref="G133" si="11">G134+G139+G142</f>
        <v>34603.5069</v>
      </c>
      <c r="H133" s="96">
        <f>H134+H139+H142</f>
        <v>46336.4931</v>
      </c>
      <c r="I133" s="96">
        <f>I134+I139+I142</f>
        <v>29803.04624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976.95992000000001</v>
      </c>
      <c r="G134" s="127">
        <f>G135+G136+G138+G137</f>
        <v>27897.5196</v>
      </c>
      <c r="H134" s="127">
        <f>H135+H136+H137+H138</f>
        <v>31606.4804</v>
      </c>
      <c r="I134" s="127">
        <f>I135+I136+I137+I138</f>
        <v>23675.344279999998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130.43343</f>
        <v>130.43342999999999</v>
      </c>
      <c r="G135" s="129">
        <v>4241.06646</v>
      </c>
      <c r="H135" s="129">
        <f>E135-G135</f>
        <v>13262.93354</v>
      </c>
      <c r="I135" s="129">
        <f>3191.08295</f>
        <v>3191.08295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328.96799</f>
        <v>328.96798999999999</v>
      </c>
      <c r="G136" s="129">
        <v>8517.9154500000004</v>
      </c>
      <c r="H136" s="129">
        <f>E136-G136</f>
        <v>6566.0845499999996</v>
      </c>
      <c r="I136" s="129">
        <f>6430.87254</f>
        <v>6430.8725400000003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326.40658</f>
        <v>326.40658000000002</v>
      </c>
      <c r="G137" s="129">
        <v>7160.7503200000001</v>
      </c>
      <c r="H137" s="129">
        <f>E137-G137</f>
        <v>7862.2496799999999</v>
      </c>
      <c r="I137" s="129">
        <f>7586.90386</f>
        <v>7586.9038600000003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191.15192</f>
        <v>191.15191999999999</v>
      </c>
      <c r="G138" s="129">
        <v>7977.78737</v>
      </c>
      <c r="H138" s="129">
        <f>E138-G138</f>
        <v>3915.21263</v>
      </c>
      <c r="I138" s="129">
        <f>6466.48493</f>
        <v>6466.4849299999996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872.54604000000006</v>
      </c>
      <c r="G139" s="134">
        <f>SUM(G140:G141)</f>
        <v>4912.4534299999996</v>
      </c>
      <c r="H139" s="134">
        <f>H140+H141</f>
        <v>4519.5465700000004</v>
      </c>
      <c r="I139" s="134">
        <f>SUM(I140:I141)</f>
        <v>4639.9390599999997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848.53254</f>
        <v>848.53254000000004</v>
      </c>
      <c r="G140" s="129">
        <f>4814.08249</f>
        <v>4814.0824899999998</v>
      </c>
      <c r="H140" s="129">
        <f t="shared" ref="H140:H147" si="12">E140-G140</f>
        <v>4117.9175100000002</v>
      </c>
      <c r="I140" s="129">
        <f>4563.82691</f>
        <v>4563.8269099999998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24.0135</f>
        <v>24.013500000000001</v>
      </c>
      <c r="G141" s="129">
        <f>98.37094</f>
        <v>98.370940000000004</v>
      </c>
      <c r="H141" s="129">
        <f t="shared" si="12"/>
        <v>401.62905999999998</v>
      </c>
      <c r="I141" s="129">
        <f>76.11215</f>
        <v>76.11215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145.3576</f>
        <v>145.35759999999999</v>
      </c>
      <c r="G142" s="77">
        <f>1793.53387</f>
        <v>1793.53387</v>
      </c>
      <c r="H142" s="77">
        <f t="shared" si="12"/>
        <v>10210.466130000001</v>
      </c>
      <c r="I142" s="77">
        <f>1487.7629</f>
        <v>1487.7628999999999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0.23178</f>
        <v>0.23178000000000001</v>
      </c>
      <c r="G143" s="141">
        <f>17.91941</f>
        <v>17.919409999999999</v>
      </c>
      <c r="H143" s="141">
        <f t="shared" si="12"/>
        <v>119.08059</v>
      </c>
      <c r="I143" s="141">
        <f>20.53102</f>
        <v>20.531020000000002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0</f>
        <v>0</v>
      </c>
      <c r="H144" s="100">
        <f t="shared" si="12"/>
        <v>250</v>
      </c>
      <c r="I144" s="100">
        <f>0</f>
        <v>0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16.91581</f>
        <v>16.91581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2561.1687299999999</v>
      </c>
      <c r="G150" s="78">
        <f>G128+G132+G133+G143+G144+G145+G146+G147+G148</f>
        <v>62256.208559999999</v>
      </c>
      <c r="H150" s="78">
        <f>H128+H132+H133+H143+H144+H145+H146+H147+H148</f>
        <v>140978.79144</v>
      </c>
      <c r="I150" s="78">
        <f>I128+I132+I133+I143+I144+I145+I146+I147+I148</f>
        <v>52685.103550000007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144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140</v>
      </c>
      <c r="F174" s="15" t="s">
        <v>141</v>
      </c>
      <c r="G174" s="56" t="s">
        <v>142</v>
      </c>
      <c r="H174" s="15" t="s">
        <v>143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45.01359</f>
        <v>45.013590000000001</v>
      </c>
      <c r="F175" s="274">
        <f>438.8593</f>
        <v>438.85930000000002</v>
      </c>
      <c r="G175" s="45">
        <f>D175-F175-F176</f>
        <v>4379.3975600000003</v>
      </c>
      <c r="H175" s="274">
        <f>308.3777</f>
        <v>308.3777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169.74314</f>
        <v>169.74314000000001</v>
      </c>
      <c r="G176" s="215"/>
      <c r="H176" s="154">
        <f>335.57409</f>
        <v>335.57409000000001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0.00132</f>
        <v>1.32E-3</v>
      </c>
      <c r="F177" s="174">
        <f>22.40974</f>
        <v>22.409739999999999</v>
      </c>
      <c r="G177" s="174">
        <f>D177-F177</f>
        <v>177.59026</v>
      </c>
      <c r="H177" s="174">
        <f>12.36262</f>
        <v>12.36262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6.8351000000000006</v>
      </c>
      <c r="F178" s="183">
        <f>F179+F180+F181</f>
        <v>16.863480000000003</v>
      </c>
      <c r="G178" s="183">
        <f>D178-F178</f>
        <v>7464.13652</v>
      </c>
      <c r="H178" s="183">
        <f>H179+H180+H181</f>
        <v>19.297919999999998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1.60782</f>
        <v>1.60782</v>
      </c>
      <c r="F179" s="129">
        <f>4.84942</f>
        <v>4.8494200000000003</v>
      </c>
      <c r="G179" s="129"/>
      <c r="H179" s="129">
        <f>1.50752</f>
        <v>1.50752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5.22728</f>
        <v>5.2272800000000004</v>
      </c>
      <c r="F180" s="129">
        <f>10.9525</f>
        <v>10.952500000000001</v>
      </c>
      <c r="G180" s="129"/>
      <c r="H180" s="129">
        <f>13.53127</f>
        <v>13.531269999999999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0</f>
        <v>0</v>
      </c>
      <c r="F181" s="194">
        <f>1.06156</f>
        <v>1.0615600000000001</v>
      </c>
      <c r="G181" s="194"/>
      <c r="H181" s="194">
        <f>4.25913</f>
        <v>4.2591299999999999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51.850009999999997</v>
      </c>
      <c r="F184" s="196">
        <f>F175+F176+F177+F178+F182+F183</f>
        <v>647.87565999999993</v>
      </c>
      <c r="G184" s="196">
        <f>D184-F184</f>
        <v>12087.12434</v>
      </c>
      <c r="H184" s="196">
        <f>H175+H176+H177+H178+H182+H183</f>
        <v>675.61233000000004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140</v>
      </c>
      <c r="F203" s="68" t="s">
        <v>141</v>
      </c>
      <c r="G203" s="68" t="s">
        <v>142</v>
      </c>
      <c r="H203" s="68" t="s">
        <v>143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418.21576</f>
        <v>418.21575999999999</v>
      </c>
      <c r="F204" s="124">
        <f>6997.32455</f>
        <v>6997.3245500000003</v>
      </c>
      <c r="G204" s="124">
        <f>D204-F204</f>
        <v>36841.675450000002</v>
      </c>
      <c r="H204" s="124">
        <f>4175.40557</f>
        <v>4175.4055699999999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0.007</f>
        <v>7.0000000000000001E-3</v>
      </c>
      <c r="F205" s="124">
        <f>0.8048</f>
        <v>0.80479999999999996</v>
      </c>
      <c r="G205" s="124">
        <f>D205-F205</f>
        <v>99.1952</v>
      </c>
      <c r="H205" s="124">
        <f>9.54076</f>
        <v>9.5407600000000006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418.22275999999999</v>
      </c>
      <c r="F207" s="190">
        <f>SUM(F204:F206)</f>
        <v>6998.1293500000002</v>
      </c>
      <c r="G207" s="190">
        <f>D207-F207</f>
        <v>36982.870649999997</v>
      </c>
      <c r="H207" s="190">
        <f>SUM(H204:H206)</f>
        <v>4184.9463299999998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30" customHeight="1" x14ac:dyDescent="0.25">
      <c r="A243" s="216"/>
      <c r="B243" s="216"/>
      <c r="C243" s="217" t="s">
        <v>90</v>
      </c>
      <c r="D243" s="216"/>
      <c r="E243" s="216"/>
      <c r="F243" s="216"/>
      <c r="G243" s="216"/>
      <c r="H243" s="216"/>
      <c r="I243" s="216"/>
      <c r="J243" s="222"/>
    </row>
    <row r="244" spans="1:10" ht="30" customHeight="1" x14ac:dyDescent="0.25">
      <c r="A244" s="216" t="s">
        <v>120</v>
      </c>
      <c r="B244" s="216"/>
      <c r="C244" s="217"/>
      <c r="D244" s="216"/>
      <c r="E244" s="216"/>
      <c r="F244" s="216"/>
      <c r="G244" s="216"/>
      <c r="H244" s="216"/>
      <c r="I244" s="216"/>
      <c r="J244" s="222"/>
    </row>
    <row r="245" spans="1:10" ht="14.1" customHeight="1" x14ac:dyDescent="0.25">
      <c r="A245" s="1"/>
      <c r="B245" s="138"/>
      <c r="C245" s="176"/>
      <c r="D245" s="176"/>
      <c r="E245" s="176"/>
      <c r="F245" s="176"/>
      <c r="G245" s="176"/>
      <c r="H245" s="176"/>
      <c r="I245" s="176"/>
      <c r="J245" s="164"/>
    </row>
    <row r="246" spans="1:10" ht="14.1" customHeight="1" x14ac:dyDescent="0.25">
      <c r="A246" s="159"/>
      <c r="B246" s="54"/>
      <c r="C246" s="151" t="s">
        <v>1</v>
      </c>
      <c r="D246" s="187"/>
      <c r="E246" s="152"/>
      <c r="F246" s="152"/>
      <c r="G246" s="159"/>
      <c r="H246" s="159"/>
      <c r="I246" s="159"/>
      <c r="J246" s="122"/>
    </row>
    <row r="247" spans="1:10" ht="14.1" customHeight="1" x14ac:dyDescent="0.25">
      <c r="A247" s="1"/>
      <c r="B247" s="252"/>
      <c r="C247" s="257" t="s">
        <v>85</v>
      </c>
      <c r="D247" s="268">
        <v>3299</v>
      </c>
      <c r="E247" s="152"/>
      <c r="F247" s="223"/>
      <c r="G247" s="1"/>
      <c r="H247" s="1"/>
      <c r="I247" s="1"/>
      <c r="J247" s="122"/>
    </row>
    <row r="248" spans="1:10" ht="14.1" customHeight="1" x14ac:dyDescent="0.25">
      <c r="A248" s="1"/>
      <c r="B248" s="252"/>
      <c r="C248" s="246" t="s">
        <v>91</v>
      </c>
      <c r="D248" s="46">
        <v>9882</v>
      </c>
      <c r="E248" s="152"/>
      <c r="F248" s="223"/>
      <c r="G248" s="1"/>
      <c r="H248" s="1"/>
      <c r="I248" s="1"/>
      <c r="J248" s="122"/>
    </row>
    <row r="249" spans="1:10" ht="14.1" customHeight="1" x14ac:dyDescent="0.25">
      <c r="A249" s="1"/>
      <c r="B249" s="252"/>
      <c r="C249" s="246" t="s">
        <v>92</v>
      </c>
      <c r="D249" s="46">
        <v>8089</v>
      </c>
      <c r="E249" s="152"/>
      <c r="F249" s="223"/>
      <c r="G249" s="1"/>
      <c r="H249" s="1"/>
      <c r="I249" s="1"/>
      <c r="J249" s="122"/>
    </row>
    <row r="250" spans="1:10" ht="13.5" customHeight="1" x14ac:dyDescent="0.25">
      <c r="A250" s="1"/>
      <c r="B250" s="252"/>
      <c r="C250" s="246" t="s">
        <v>75</v>
      </c>
      <c r="D250" s="46">
        <v>382</v>
      </c>
      <c r="E250" s="152"/>
      <c r="F250" s="223"/>
      <c r="G250" s="1"/>
      <c r="H250" s="1"/>
      <c r="I250" s="1"/>
      <c r="J250" s="122"/>
    </row>
    <row r="251" spans="1:10" ht="14.25" customHeight="1" x14ac:dyDescent="0.25">
      <c r="A251" s="1"/>
      <c r="B251" s="252"/>
      <c r="C251" s="57" t="s">
        <v>50</v>
      </c>
      <c r="D251" s="35">
        <f>SUM(D247:D250)</f>
        <v>21652</v>
      </c>
      <c r="E251" s="152"/>
      <c r="F251" s="152"/>
      <c r="G251" s="1"/>
      <c r="H251" s="1"/>
      <c r="I251" s="1"/>
      <c r="J251" s="122"/>
    </row>
    <row r="252" spans="1:10" ht="14.1" customHeight="1" x14ac:dyDescent="0.25">
      <c r="A252" s="1"/>
      <c r="B252" s="252"/>
      <c r="C252" s="226" t="s">
        <v>93</v>
      </c>
      <c r="D252" s="227"/>
      <c r="E252" s="181"/>
      <c r="F252" s="181"/>
      <c r="G252" s="1"/>
      <c r="H252" s="1"/>
      <c r="I252" s="1"/>
      <c r="J252" s="122"/>
    </row>
    <row r="253" spans="1:10" ht="15" customHeight="1" x14ac:dyDescent="0.25">
      <c r="A253" s="1"/>
      <c r="B253" s="252"/>
      <c r="C253" s="101" t="s">
        <v>94</v>
      </c>
      <c r="D253" s="228"/>
      <c r="E253" s="1"/>
      <c r="F253" s="1"/>
      <c r="G253" s="1"/>
      <c r="H253" s="1"/>
      <c r="I253" s="1"/>
      <c r="J253" s="122"/>
    </row>
    <row r="254" spans="1:10" ht="14.25" customHeight="1" x14ac:dyDescent="0.25">
      <c r="A254" s="1"/>
      <c r="B254" s="252"/>
      <c r="C254" s="101" t="s">
        <v>95</v>
      </c>
      <c r="D254" s="1"/>
      <c r="E254" s="1"/>
      <c r="F254" s="1"/>
      <c r="G254" s="1"/>
      <c r="H254" s="1"/>
      <c r="I254" s="1"/>
      <c r="J254" s="122"/>
    </row>
    <row r="255" spans="1:10" ht="23.25" customHeight="1" x14ac:dyDescent="0.25">
      <c r="A255" s="1"/>
      <c r="B255" s="229"/>
      <c r="C255" s="232" t="s">
        <v>15</v>
      </c>
      <c r="D255" s="232"/>
      <c r="E255" s="232"/>
      <c r="F255" s="232"/>
      <c r="G255" s="232"/>
      <c r="H255" s="232"/>
      <c r="I255" s="232"/>
      <c r="J255" s="236"/>
    </row>
    <row r="256" spans="1:10" ht="14.1" customHeight="1" x14ac:dyDescent="0.25">
      <c r="A256" s="1"/>
      <c r="B256" s="238"/>
      <c r="C256" s="240"/>
      <c r="D256" s="240"/>
      <c r="E256" s="240"/>
      <c r="F256" s="240"/>
      <c r="G256" s="240"/>
      <c r="H256" s="240"/>
      <c r="I256" s="240"/>
      <c r="J256" s="122"/>
    </row>
    <row r="257" spans="1:10" ht="54" customHeight="1" x14ac:dyDescent="0.25">
      <c r="A257" s="1"/>
      <c r="B257" s="252"/>
      <c r="C257" s="68" t="s">
        <v>16</v>
      </c>
      <c r="D257" s="241" t="s">
        <v>2</v>
      </c>
      <c r="E257" s="68" t="s">
        <v>140</v>
      </c>
      <c r="F257" s="68" t="s">
        <v>141</v>
      </c>
      <c r="G257" s="68" t="s">
        <v>142</v>
      </c>
      <c r="H257" s="68" t="s">
        <v>143</v>
      </c>
      <c r="I257" s="1"/>
      <c r="J257" s="118"/>
    </row>
    <row r="258" spans="1:10" ht="14.1" customHeight="1" x14ac:dyDescent="0.25">
      <c r="A258" s="70"/>
      <c r="B258" s="81"/>
      <c r="C258" s="90" t="s">
        <v>96</v>
      </c>
      <c r="D258" s="124">
        <v>800</v>
      </c>
      <c r="E258" s="124">
        <f>5.06574</f>
        <v>5.0657399999999999</v>
      </c>
      <c r="F258" s="124">
        <f>91.11589</f>
        <v>91.115889999999993</v>
      </c>
      <c r="G258" s="124">
        <f>D258-F258</f>
        <v>708.88410999999996</v>
      </c>
      <c r="H258" s="124">
        <f>45.87618</f>
        <v>45.876179999999998</v>
      </c>
      <c r="I258" s="70"/>
      <c r="J258" s="242"/>
    </row>
    <row r="259" spans="1:10" ht="14.1" customHeight="1" x14ac:dyDescent="0.25">
      <c r="A259" s="1"/>
      <c r="B259" s="252"/>
      <c r="C259" s="90" t="s">
        <v>97</v>
      </c>
      <c r="D259" s="244">
        <v>2494</v>
      </c>
      <c r="E259" s="124">
        <f>9.55832</f>
        <v>9.5583200000000001</v>
      </c>
      <c r="F259" s="124">
        <f>403.04044</f>
        <v>403.04043999999999</v>
      </c>
      <c r="G259" s="124">
        <f>D259-F259</f>
        <v>2090.9595600000002</v>
      </c>
      <c r="H259" s="124">
        <f>201.74808</f>
        <v>201.74807999999999</v>
      </c>
      <c r="I259" s="181"/>
      <c r="J259" s="118"/>
    </row>
    <row r="260" spans="1:10" ht="16.5" customHeight="1" x14ac:dyDescent="0.25">
      <c r="A260" s="70"/>
      <c r="B260" s="81"/>
      <c r="C260" s="146" t="s">
        <v>82</v>
      </c>
      <c r="D260" s="244">
        <v>5</v>
      </c>
      <c r="E260" s="168">
        <f>0</f>
        <v>0</v>
      </c>
      <c r="F260" s="168">
        <f>0.09004</f>
        <v>9.0039999999999995E-2</v>
      </c>
      <c r="G260" s="124">
        <f>D260-F260</f>
        <v>4.9099599999999999</v>
      </c>
      <c r="H260" s="168">
        <f>0.357</f>
        <v>0.35699999999999998</v>
      </c>
      <c r="I260" s="70"/>
      <c r="J260" s="247"/>
    </row>
    <row r="261" spans="1:10" ht="18.75" customHeight="1" x14ac:dyDescent="0.25">
      <c r="A261" s="70"/>
      <c r="B261" s="248"/>
      <c r="C261" s="146" t="s">
        <v>98</v>
      </c>
      <c r="D261" s="220"/>
      <c r="E261" s="168">
        <f>0</f>
        <v>0</v>
      </c>
      <c r="F261" s="168">
        <f>0.19022</f>
        <v>0.19022</v>
      </c>
      <c r="G261" s="124"/>
      <c r="H261" s="168">
        <f>0.22156</f>
        <v>0.22156000000000001</v>
      </c>
      <c r="I261" s="282"/>
      <c r="J261" s="122"/>
    </row>
    <row r="262" spans="1:10" ht="14.1" customHeight="1" x14ac:dyDescent="0.25">
      <c r="A262" s="1"/>
      <c r="B262" s="252"/>
      <c r="C262" s="179" t="s">
        <v>88</v>
      </c>
      <c r="D262" s="6">
        <f>D247</f>
        <v>3299</v>
      </c>
      <c r="E262" s="190">
        <f>SUM(E258:E261)</f>
        <v>14.62406</v>
      </c>
      <c r="F262" s="190">
        <f>SUM(F258:F261)</f>
        <v>494.43658999999997</v>
      </c>
      <c r="G262" s="190">
        <f>D262-F262</f>
        <v>2804.5634100000002</v>
      </c>
      <c r="H262" s="190">
        <f>H258+H259+H260+H261</f>
        <v>248.20282</v>
      </c>
      <c r="I262" s="1"/>
      <c r="J262" s="122"/>
    </row>
    <row r="263" spans="1:10" ht="14.1" customHeight="1" x14ac:dyDescent="0.25">
      <c r="A263" s="1"/>
      <c r="B263" s="252"/>
      <c r="C263" s="21"/>
      <c r="D263" s="34"/>
      <c r="E263" s="34"/>
      <c r="F263" s="34"/>
      <c r="G263" s="34"/>
      <c r="H263" s="34"/>
      <c r="I263" s="1"/>
      <c r="J263" s="122"/>
    </row>
    <row r="264" spans="1:10" ht="14.1" customHeight="1" x14ac:dyDescent="0.25">
      <c r="A264" s="1"/>
      <c r="B264" s="166"/>
      <c r="C264" s="109"/>
      <c r="D264" s="109"/>
      <c r="E264" s="109"/>
      <c r="F264" s="109"/>
      <c r="G264" s="108"/>
      <c r="H264" s="109"/>
      <c r="I264" s="109"/>
      <c r="J264" s="120"/>
    </row>
    <row r="265" spans="1:10" ht="14.1" customHeight="1" x14ac:dyDescent="0.25">
      <c r="A265" s="1"/>
      <c r="C265" s="152" t="s">
        <v>120</v>
      </c>
    </row>
    <row r="266" spans="1:10" ht="14.1" customHeight="1" x14ac:dyDescent="0.25">
      <c r="A266" s="1" t="s">
        <v>120</v>
      </c>
    </row>
    <row r="267" spans="1:10" ht="14.1" customHeight="1" x14ac:dyDescent="0.25">
      <c r="A267" s="1" t="s">
        <v>120</v>
      </c>
    </row>
    <row r="268" spans="1:10" ht="14.1" customHeight="1" x14ac:dyDescent="0.25">
      <c r="A268" s="1"/>
      <c r="C268" s="152" t="s">
        <v>120</v>
      </c>
    </row>
    <row r="269" spans="1:10" ht="36" customHeight="1" x14ac:dyDescent="0.25">
      <c r="A269" s="1"/>
      <c r="C269" s="152" t="s">
        <v>120</v>
      </c>
    </row>
    <row r="270" spans="1:10" ht="14.1" customHeight="1" x14ac:dyDescent="0.25">
      <c r="A270" s="1"/>
      <c r="C270" s="152" t="s">
        <v>120</v>
      </c>
    </row>
    <row r="271" spans="1:10" ht="14.1" customHeight="1" x14ac:dyDescent="0.25">
      <c r="A271" s="1"/>
      <c r="C271" s="152" t="s">
        <v>120</v>
      </c>
    </row>
    <row r="272" spans="1:10" ht="30" customHeight="1" x14ac:dyDescent="0.35">
      <c r="A272" s="216"/>
      <c r="B272" s="1"/>
      <c r="C272" s="213" t="s">
        <v>99</v>
      </c>
      <c r="D272" s="159"/>
      <c r="E272" s="1"/>
      <c r="F272" s="1"/>
      <c r="G272" s="1"/>
      <c r="H272" s="1"/>
      <c r="I272" s="1"/>
      <c r="J272" s="1"/>
    </row>
    <row r="273" spans="1:10" ht="17.100000000000001" customHeight="1" x14ac:dyDescent="0.25">
      <c r="B273" s="126"/>
      <c r="C273" s="237"/>
      <c r="D273" s="237"/>
      <c r="E273" s="237"/>
      <c r="F273" s="237"/>
      <c r="G273" s="237"/>
      <c r="H273" s="237"/>
      <c r="I273" s="237"/>
      <c r="J273" s="62"/>
    </row>
    <row r="274" spans="1:10" ht="6" customHeight="1" x14ac:dyDescent="0.25">
      <c r="B274" s="74"/>
      <c r="C274" s="152"/>
      <c r="D274" s="152"/>
      <c r="E274" s="152"/>
      <c r="F274" s="152"/>
      <c r="G274" s="152"/>
      <c r="H274" s="152"/>
      <c r="I274" s="152"/>
      <c r="J274" s="132"/>
    </row>
    <row r="275" spans="1:10" ht="18" customHeight="1" x14ac:dyDescent="0.25">
      <c r="B275" s="74"/>
      <c r="C275" s="151" t="s">
        <v>1</v>
      </c>
      <c r="D275" s="187"/>
      <c r="E275" s="151" t="s">
        <v>100</v>
      </c>
      <c r="F275" s="187"/>
      <c r="G275" s="151" t="s">
        <v>101</v>
      </c>
      <c r="H275" s="187"/>
      <c r="I275" s="152"/>
      <c r="J275" s="132"/>
    </row>
    <row r="276" spans="1:10" ht="14.25" customHeight="1" x14ac:dyDescent="0.25">
      <c r="B276" s="74"/>
      <c r="C276" s="257" t="s">
        <v>85</v>
      </c>
      <c r="D276" s="268">
        <v>27365</v>
      </c>
      <c r="E276" s="250" t="s">
        <v>4</v>
      </c>
      <c r="F276" s="105">
        <v>13865</v>
      </c>
      <c r="G276" s="246" t="s">
        <v>20</v>
      </c>
      <c r="H276" s="46">
        <v>6472</v>
      </c>
      <c r="I276" s="152"/>
      <c r="J276" s="132"/>
    </row>
    <row r="277" spans="1:10" ht="14.25" customHeight="1" x14ac:dyDescent="0.25">
      <c r="B277" s="74"/>
      <c r="C277" s="246" t="s">
        <v>92</v>
      </c>
      <c r="D277" s="46">
        <v>19433</v>
      </c>
      <c r="E277" s="181" t="s">
        <v>97</v>
      </c>
      <c r="F277" s="49">
        <v>8000</v>
      </c>
      <c r="G277" s="246" t="s">
        <v>21</v>
      </c>
      <c r="H277" s="46">
        <v>1684</v>
      </c>
      <c r="I277" s="152"/>
      <c r="J277" s="132"/>
    </row>
    <row r="278" spans="1:10" ht="14.25" customHeight="1" x14ac:dyDescent="0.25">
      <c r="B278" s="74"/>
      <c r="C278" s="246" t="s">
        <v>91</v>
      </c>
      <c r="D278" s="46">
        <v>6186</v>
      </c>
      <c r="E278" s="181" t="s">
        <v>60</v>
      </c>
      <c r="F278" s="49">
        <v>5500</v>
      </c>
      <c r="G278" s="246" t="s">
        <v>102</v>
      </c>
      <c r="H278" s="46">
        <v>4296</v>
      </c>
      <c r="I278" s="152"/>
      <c r="J278" s="132"/>
    </row>
    <row r="279" spans="1:10" ht="14.1" customHeight="1" x14ac:dyDescent="0.25">
      <c r="B279" s="74"/>
      <c r="C279" s="246"/>
      <c r="D279" s="46"/>
      <c r="E279" s="133"/>
      <c r="F279" s="147"/>
      <c r="G279" s="246" t="s">
        <v>103</v>
      </c>
      <c r="H279" s="46">
        <v>1313</v>
      </c>
      <c r="I279" s="152"/>
      <c r="J279" s="132"/>
    </row>
    <row r="280" spans="1:10" ht="14.1" customHeight="1" x14ac:dyDescent="0.25">
      <c r="B280" s="74"/>
      <c r="C280" s="57" t="s">
        <v>50</v>
      </c>
      <c r="D280" s="35">
        <v>53374</v>
      </c>
      <c r="E280" s="175" t="s">
        <v>104</v>
      </c>
      <c r="F280" s="35">
        <f>F276+F277+F278</f>
        <v>27365</v>
      </c>
      <c r="G280" s="57" t="s">
        <v>4</v>
      </c>
      <c r="H280" s="35">
        <f>SUM(H276:H279)</f>
        <v>13765</v>
      </c>
      <c r="I280" s="152"/>
      <c r="J280" s="132"/>
    </row>
    <row r="281" spans="1:10" ht="13.35" customHeight="1" x14ac:dyDescent="0.25">
      <c r="B281" s="74"/>
      <c r="C281" s="101" t="s">
        <v>121</v>
      </c>
      <c r="D281" s="181"/>
      <c r="E281" s="181"/>
      <c r="F281" s="181"/>
      <c r="G281" s="1"/>
      <c r="H281" s="181"/>
      <c r="I281" s="181"/>
      <c r="J281" s="242"/>
    </row>
    <row r="282" spans="1:10" ht="13.35" customHeight="1" x14ac:dyDescent="0.25">
      <c r="B282" s="74"/>
      <c r="C282" s="101" t="s">
        <v>105</v>
      </c>
      <c r="D282" s="1"/>
      <c r="E282" s="1"/>
      <c r="F282" s="1"/>
      <c r="G282" s="1"/>
      <c r="H282" s="1"/>
      <c r="I282" s="1"/>
      <c r="J282" s="122"/>
    </row>
    <row r="283" spans="1:10" ht="9.75" customHeight="1" x14ac:dyDescent="0.25">
      <c r="B283" s="74"/>
      <c r="C283" s="101"/>
      <c r="D283" s="1"/>
      <c r="E283" s="1"/>
      <c r="F283" s="1"/>
      <c r="G283" s="1"/>
      <c r="H283" s="1"/>
      <c r="I283" s="1"/>
      <c r="J283" s="122"/>
    </row>
    <row r="284" spans="1:10" ht="18" customHeight="1" x14ac:dyDescent="0.25">
      <c r="B284" s="74"/>
      <c r="C284" s="152"/>
      <c r="D284" s="152"/>
      <c r="E284" s="152"/>
      <c r="F284" s="152"/>
      <c r="G284" s="152"/>
      <c r="H284" s="152"/>
      <c r="I284" s="152"/>
      <c r="J284" s="132"/>
    </row>
    <row r="285" spans="1:10" ht="29.25" customHeight="1" x14ac:dyDescent="0.25">
      <c r="B285" s="229"/>
      <c r="C285" s="232" t="s">
        <v>15</v>
      </c>
      <c r="D285" s="232"/>
      <c r="E285" s="232"/>
      <c r="F285" s="232"/>
      <c r="G285" s="232"/>
      <c r="H285" s="232"/>
      <c r="I285" s="232"/>
      <c r="J285" s="236"/>
    </row>
    <row r="286" spans="1:10" ht="18.75" customHeight="1" x14ac:dyDescent="0.25">
      <c r="B286" s="200"/>
      <c r="C286" s="222"/>
      <c r="D286" s="222"/>
      <c r="E286" s="222"/>
      <c r="F286" s="222"/>
      <c r="G286" s="222"/>
      <c r="H286" s="222"/>
      <c r="I286" s="222"/>
      <c r="J286" s="13"/>
    </row>
    <row r="287" spans="1:10" ht="64.5" customHeight="1" x14ac:dyDescent="0.25">
      <c r="B287" s="74"/>
      <c r="C287" s="221" t="s">
        <v>16</v>
      </c>
      <c r="D287" s="230" t="s">
        <v>17</v>
      </c>
      <c r="E287" s="68" t="s">
        <v>106</v>
      </c>
      <c r="F287" s="221" t="s">
        <v>140</v>
      </c>
      <c r="G287" s="221" t="s">
        <v>141</v>
      </c>
      <c r="H287" s="221" t="s">
        <v>142</v>
      </c>
      <c r="I287" s="221" t="s">
        <v>143</v>
      </c>
      <c r="J287" s="132"/>
    </row>
    <row r="288" spans="1:10" ht="14.1" customHeight="1" x14ac:dyDescent="0.25">
      <c r="A288" s="216"/>
      <c r="B288" s="74"/>
      <c r="C288" s="245" t="s">
        <v>19</v>
      </c>
      <c r="D288" s="249">
        <f t="shared" ref="D288:I288" si="14">D292+D291+D290+D289</f>
        <v>13765</v>
      </c>
      <c r="E288" s="249">
        <f t="shared" si="14"/>
        <v>16102</v>
      </c>
      <c r="F288" s="251">
        <f t="shared" si="14"/>
        <v>19.932600000000001</v>
      </c>
      <c r="G288" s="251">
        <f t="shared" si="14"/>
        <v>2740.2716799999998</v>
      </c>
      <c r="H288" s="251">
        <f>H292+H291+H290+H289</f>
        <v>13361.72832</v>
      </c>
      <c r="I288" s="251">
        <f t="shared" si="14"/>
        <v>681.52211999999986</v>
      </c>
      <c r="J288" s="132"/>
    </row>
    <row r="289" spans="1:10" ht="14.1" customHeight="1" x14ac:dyDescent="0.25">
      <c r="A289" s="216"/>
      <c r="B289" s="74"/>
      <c r="C289" s="253" t="s">
        <v>107</v>
      </c>
      <c r="D289" s="254">
        <v>6472</v>
      </c>
      <c r="E289" s="254">
        <v>8177</v>
      </c>
      <c r="F289" s="255">
        <f>0</f>
        <v>0</v>
      </c>
      <c r="G289" s="255">
        <f>1618.56418</f>
        <v>1618.5641800000001</v>
      </c>
      <c r="H289" s="255">
        <f t="shared" ref="H289:H293" si="15">E289-G289</f>
        <v>6558.4358199999997</v>
      </c>
      <c r="I289" s="255">
        <f>138.8988</f>
        <v>138.89879999999999</v>
      </c>
      <c r="J289" s="132"/>
    </row>
    <row r="290" spans="1:10" ht="14.1" customHeight="1" x14ac:dyDescent="0.25">
      <c r="A290" s="216"/>
      <c r="B290" s="74"/>
      <c r="C290" s="258" t="s">
        <v>21</v>
      </c>
      <c r="D290" s="254">
        <v>1684</v>
      </c>
      <c r="E290" s="254">
        <v>2128</v>
      </c>
      <c r="F290" s="255">
        <f>0</f>
        <v>0</v>
      </c>
      <c r="G290" s="255">
        <f>432</f>
        <v>432</v>
      </c>
      <c r="H290" s="255">
        <f t="shared" si="15"/>
        <v>1696</v>
      </c>
      <c r="I290" s="255">
        <f>280.6002</f>
        <v>280.60019999999997</v>
      </c>
      <c r="J290" s="132"/>
    </row>
    <row r="291" spans="1:10" ht="14.1" customHeight="1" x14ac:dyDescent="0.25">
      <c r="A291" s="216"/>
      <c r="B291" s="74"/>
      <c r="C291" s="258" t="s">
        <v>103</v>
      </c>
      <c r="D291" s="254">
        <v>1313</v>
      </c>
      <c r="E291" s="254">
        <v>1357</v>
      </c>
      <c r="F291" s="255">
        <f>19.9254</f>
        <v>19.9254</v>
      </c>
      <c r="G291" s="255">
        <f>444.14665</f>
        <v>444.14665000000002</v>
      </c>
      <c r="H291" s="255">
        <f t="shared" si="15"/>
        <v>912.85334999999998</v>
      </c>
      <c r="I291" s="255">
        <f>252.74032</f>
        <v>252.74032</v>
      </c>
      <c r="J291" s="132"/>
    </row>
    <row r="292" spans="1:10" ht="14.1" customHeight="1" x14ac:dyDescent="0.25">
      <c r="A292" s="216"/>
      <c r="B292" s="74"/>
      <c r="C292" s="260" t="s">
        <v>108</v>
      </c>
      <c r="D292" s="261">
        <v>4296</v>
      </c>
      <c r="E292" s="261">
        <v>4440</v>
      </c>
      <c r="F292" s="255">
        <f>0.0072</f>
        <v>7.1999999999999998E-3</v>
      </c>
      <c r="G292" s="255">
        <f>245.56085</f>
        <v>245.56084999999999</v>
      </c>
      <c r="H292" s="255">
        <f t="shared" si="15"/>
        <v>4194.4391500000002</v>
      </c>
      <c r="I292" s="255">
        <f>9.2828</f>
        <v>9.2827999999999999</v>
      </c>
      <c r="J292" s="132"/>
    </row>
    <row r="293" spans="1:10" ht="14.1" customHeight="1" x14ac:dyDescent="0.25">
      <c r="A293" s="216"/>
      <c r="B293" s="74"/>
      <c r="C293" s="263" t="s">
        <v>60</v>
      </c>
      <c r="D293" s="264">
        <v>5500</v>
      </c>
      <c r="E293" s="264">
        <v>5500</v>
      </c>
      <c r="F293" s="266">
        <f>0.207</f>
        <v>0.20699999999999999</v>
      </c>
      <c r="G293" s="266">
        <f>19.42</f>
        <v>19.420000000000002</v>
      </c>
      <c r="H293" s="266">
        <f t="shared" si="15"/>
        <v>5480.58</v>
      </c>
      <c r="I293" s="266">
        <f>107.88102</f>
        <v>107.88102000000001</v>
      </c>
      <c r="J293" s="132"/>
    </row>
    <row r="294" spans="1:10" ht="14.1" customHeight="1" x14ac:dyDescent="0.25">
      <c r="A294" s="216"/>
      <c r="B294" s="74"/>
      <c r="C294" s="245" t="s">
        <v>22</v>
      </c>
      <c r="D294" s="249">
        <v>8000</v>
      </c>
      <c r="E294" s="249">
        <v>8000</v>
      </c>
      <c r="F294" s="267">
        <f>F296+F295</f>
        <v>51.217689999999997</v>
      </c>
      <c r="G294" s="267">
        <f>G296+G295</f>
        <v>1513.7418299999999</v>
      </c>
      <c r="H294" s="267">
        <f>E294-G294</f>
        <v>6486.2581700000001</v>
      </c>
      <c r="I294" s="267">
        <f>I296+I295</f>
        <v>1457.8972100000001</v>
      </c>
      <c r="J294" s="132"/>
    </row>
    <row r="295" spans="1:10" ht="14.1" customHeight="1" x14ac:dyDescent="0.25">
      <c r="A295" s="216"/>
      <c r="B295" s="74"/>
      <c r="C295" s="258" t="s">
        <v>54</v>
      </c>
      <c r="D295" s="269"/>
      <c r="E295" s="254"/>
      <c r="F295" s="255">
        <f>0</f>
        <v>0</v>
      </c>
      <c r="G295" s="255">
        <f>742.5736</f>
        <v>742.57360000000006</v>
      </c>
      <c r="H295" s="255"/>
      <c r="I295" s="255">
        <f>889.49831</f>
        <v>889.49830999999995</v>
      </c>
      <c r="J295" s="132"/>
    </row>
    <row r="296" spans="1:10" ht="14.1" customHeight="1" x14ac:dyDescent="0.25">
      <c r="A296" s="216"/>
      <c r="B296" s="74"/>
      <c r="C296" s="271" t="s">
        <v>109</v>
      </c>
      <c r="D296" s="272"/>
      <c r="E296" s="275"/>
      <c r="F296" s="276">
        <f>51.21769</f>
        <v>51.217689999999997</v>
      </c>
      <c r="G296" s="276">
        <f>771.16823</f>
        <v>771.16822999999999</v>
      </c>
      <c r="H296" s="276"/>
      <c r="I296" s="276">
        <f>568.3989</f>
        <v>568.39890000000003</v>
      </c>
      <c r="J296" s="132"/>
    </row>
    <row r="297" spans="1:10" ht="14.1" customHeight="1" x14ac:dyDescent="0.25">
      <c r="A297" s="216"/>
      <c r="B297" s="74"/>
      <c r="C297" s="263" t="s">
        <v>34</v>
      </c>
      <c r="D297" s="264">
        <v>10</v>
      </c>
      <c r="E297" s="264">
        <v>10</v>
      </c>
      <c r="F297" s="266">
        <f>0</f>
        <v>0</v>
      </c>
      <c r="G297" s="266">
        <f>0.0567</f>
        <v>5.67E-2</v>
      </c>
      <c r="H297" s="266">
        <f>E297-G297</f>
        <v>9.9433000000000007</v>
      </c>
      <c r="I297" s="266">
        <f>0.1377</f>
        <v>0.13769999999999999</v>
      </c>
      <c r="J297" s="132"/>
    </row>
    <row r="298" spans="1:10" ht="14.1" customHeight="1" x14ac:dyDescent="0.25">
      <c r="A298" s="216"/>
      <c r="B298" s="74"/>
      <c r="C298" s="277" t="s">
        <v>110</v>
      </c>
      <c r="D298" s="280"/>
      <c r="E298" s="281"/>
      <c r="F298" s="266">
        <f>0.7884</f>
        <v>0.78839999999999999</v>
      </c>
      <c r="G298" s="266">
        <f>3.39832</f>
        <v>3.39832</v>
      </c>
      <c r="H298" s="266">
        <f>E298-G298</f>
        <v>-3.39832</v>
      </c>
      <c r="I298" s="266">
        <f>12.65654</f>
        <v>12.65654</v>
      </c>
      <c r="J298" s="132"/>
    </row>
    <row r="299" spans="1:10" ht="19.5" customHeight="1" x14ac:dyDescent="0.25">
      <c r="A299" s="216"/>
      <c r="B299" s="74"/>
      <c r="C299" s="283" t="s">
        <v>41</v>
      </c>
      <c r="D299" s="284">
        <f>D288+D293+D294+D297+D298</f>
        <v>27275</v>
      </c>
      <c r="E299" s="284">
        <f>E288+E293+E294+E297+E298</f>
        <v>29612</v>
      </c>
      <c r="F299" s="285">
        <f t="shared" ref="F299:I299" si="16">F288+F293+F294+F297+F298</f>
        <v>72.145690000000002</v>
      </c>
      <c r="G299" s="285">
        <f t="shared" si="16"/>
        <v>4276.8885300000002</v>
      </c>
      <c r="H299" s="285">
        <f>H288+H293+H294+H297+H298</f>
        <v>25335.11147</v>
      </c>
      <c r="I299" s="285">
        <f t="shared" si="16"/>
        <v>2260.0945900000002</v>
      </c>
      <c r="J299" s="132"/>
    </row>
    <row r="300" spans="1:10" ht="14.1" customHeight="1" x14ac:dyDescent="0.25">
      <c r="A300" s="216"/>
      <c r="B300" s="74"/>
      <c r="C300" s="163" t="s">
        <v>111</v>
      </c>
      <c r="D300" s="287"/>
      <c r="E300" s="287"/>
      <c r="F300" s="4"/>
      <c r="G300" s="4"/>
      <c r="H300" s="5"/>
      <c r="I300" s="5"/>
      <c r="J300" s="132"/>
    </row>
    <row r="301" spans="1:10" ht="14.1" customHeight="1" x14ac:dyDescent="0.25">
      <c r="A301" s="216"/>
      <c r="B301" s="74"/>
      <c r="C301" s="101" t="s">
        <v>122</v>
      </c>
      <c r="D301" s="287"/>
      <c r="E301" s="287"/>
      <c r="F301" s="4"/>
      <c r="G301" s="4"/>
      <c r="H301" s="7"/>
      <c r="I301" s="5"/>
      <c r="J301" s="132"/>
    </row>
    <row r="302" spans="1:10" ht="14.1" customHeight="1" x14ac:dyDescent="0.25">
      <c r="A302" s="216"/>
      <c r="B302" s="74"/>
      <c r="C302" s="101" t="s">
        <v>123</v>
      </c>
      <c r="D302" s="287"/>
      <c r="E302" s="287"/>
      <c r="F302" s="4"/>
      <c r="G302" s="4"/>
      <c r="H302" s="5"/>
      <c r="I302" s="7"/>
      <c r="J302" s="132"/>
    </row>
    <row r="303" spans="1:10" ht="15.75" customHeight="1" x14ac:dyDescent="0.25">
      <c r="A303" s="216"/>
      <c r="B303" s="8"/>
      <c r="C303" s="9"/>
      <c r="D303" s="109"/>
      <c r="E303" s="109"/>
      <c r="F303" s="109"/>
      <c r="G303" s="109"/>
      <c r="H303" s="109"/>
      <c r="I303" s="109"/>
      <c r="J303" s="12"/>
    </row>
    <row r="304" spans="1:10" ht="15.75" customHeight="1" x14ac:dyDescent="0.25">
      <c r="A304" s="216"/>
      <c r="B304" s="152" t="s">
        <v>120</v>
      </c>
      <c r="C304" s="14"/>
      <c r="D304" s="1"/>
      <c r="E304" s="1"/>
      <c r="F304" s="1"/>
      <c r="G304" s="1"/>
      <c r="H304" s="1"/>
      <c r="I304" s="1"/>
      <c r="J304" s="152"/>
    </row>
    <row r="305" spans="1:10" ht="15.75" customHeight="1" x14ac:dyDescent="0.25">
      <c r="A305" s="216"/>
      <c r="B305" s="152" t="s">
        <v>120</v>
      </c>
      <c r="C305" s="14"/>
      <c r="D305" s="1"/>
      <c r="E305" s="1"/>
      <c r="F305" s="1"/>
      <c r="G305" s="1"/>
      <c r="H305" s="1"/>
      <c r="I305" s="1"/>
      <c r="J305" s="152"/>
    </row>
    <row r="306" spans="1:10" ht="14.1" customHeight="1" x14ac:dyDescent="0.25">
      <c r="A306" s="216"/>
      <c r="C306" s="152" t="s">
        <v>120</v>
      </c>
      <c r="D306" s="159"/>
    </row>
    <row r="307" spans="1:10" ht="14.1" customHeight="1" x14ac:dyDescent="0.25">
      <c r="A307" s="216"/>
      <c r="B307" s="126"/>
      <c r="C307" s="237"/>
      <c r="D307" s="17"/>
      <c r="E307" s="237"/>
      <c r="F307" s="237"/>
      <c r="G307" s="237"/>
      <c r="H307" s="237"/>
      <c r="I307" s="237"/>
      <c r="J307" s="62"/>
    </row>
    <row r="308" spans="1:10" ht="14.1" customHeight="1" x14ac:dyDescent="0.25">
      <c r="A308" s="216"/>
      <c r="B308" s="74"/>
      <c r="C308" s="217" t="s">
        <v>112</v>
      </c>
      <c r="D308" s="159"/>
      <c r="E308" s="152"/>
      <c r="G308" s="152"/>
      <c r="H308" s="152"/>
      <c r="I308" s="152"/>
      <c r="J308" s="132"/>
    </row>
    <row r="309" spans="1:10" ht="14.1" customHeight="1" x14ac:dyDescent="0.25">
      <c r="A309" s="216"/>
      <c r="B309" s="74"/>
      <c r="C309" s="152"/>
      <c r="D309" s="159"/>
      <c r="E309" s="152"/>
      <c r="G309" s="152"/>
      <c r="H309" s="152"/>
      <c r="I309" s="152"/>
      <c r="J309" s="132"/>
    </row>
    <row r="310" spans="1:10" ht="14.1" customHeight="1" x14ac:dyDescent="0.25">
      <c r="A310" s="216"/>
      <c r="B310" s="74"/>
      <c r="C310" s="151" t="s">
        <v>113</v>
      </c>
      <c r="D310" s="187"/>
      <c r="E310" s="152"/>
      <c r="F310" s="152"/>
      <c r="G310" s="152"/>
      <c r="H310" s="152"/>
      <c r="I310" s="152"/>
      <c r="J310" s="132"/>
    </row>
    <row r="311" spans="1:10" ht="14.1" customHeight="1" x14ac:dyDescent="0.25">
      <c r="A311" s="216"/>
      <c r="B311" s="74"/>
      <c r="C311" s="257" t="s">
        <v>85</v>
      </c>
      <c r="D311" s="268">
        <v>3360</v>
      </c>
      <c r="E311" s="152"/>
      <c r="F311" s="152"/>
      <c r="G311" s="152"/>
      <c r="H311" s="152"/>
      <c r="I311" s="152"/>
      <c r="J311" s="132"/>
    </row>
    <row r="312" spans="1:10" ht="14.1" customHeight="1" x14ac:dyDescent="0.25">
      <c r="A312" s="216"/>
      <c r="B312" s="74"/>
      <c r="C312" s="246" t="s">
        <v>92</v>
      </c>
      <c r="D312" s="46">
        <v>2399</v>
      </c>
      <c r="E312" s="152"/>
      <c r="G312" s="152"/>
      <c r="H312" s="152"/>
      <c r="I312" s="152"/>
      <c r="J312" s="132"/>
    </row>
    <row r="313" spans="1:10" ht="14.1" customHeight="1" x14ac:dyDescent="0.25">
      <c r="A313" s="216"/>
      <c r="B313" s="74"/>
      <c r="C313" s="246" t="s">
        <v>75</v>
      </c>
      <c r="D313" s="46">
        <v>123</v>
      </c>
      <c r="E313" s="152"/>
      <c r="F313" s="152"/>
      <c r="G313" s="152"/>
      <c r="H313" s="152"/>
      <c r="I313" s="152"/>
      <c r="J313" s="132"/>
    </row>
    <row r="314" spans="1:10" ht="14.1" customHeight="1" x14ac:dyDescent="0.25">
      <c r="A314" s="216"/>
      <c r="B314" s="74"/>
      <c r="C314" s="57" t="s">
        <v>50</v>
      </c>
      <c r="D314" s="35">
        <v>5882</v>
      </c>
      <c r="E314" s="152"/>
      <c r="F314" s="152"/>
      <c r="G314" s="152"/>
      <c r="H314" s="152"/>
      <c r="I314" s="152"/>
      <c r="J314" s="132"/>
    </row>
    <row r="315" spans="1:10" ht="14.1" customHeight="1" x14ac:dyDescent="0.25">
      <c r="A315" s="216"/>
      <c r="B315" s="74"/>
      <c r="C315" s="226" t="s">
        <v>114</v>
      </c>
      <c r="D315" s="147"/>
      <c r="E315" s="152"/>
      <c r="F315" s="152"/>
      <c r="G315" s="152"/>
      <c r="H315" s="152"/>
      <c r="I315" s="152"/>
      <c r="J315" s="132"/>
    </row>
    <row r="316" spans="1:10" ht="14.1" customHeight="1" x14ac:dyDescent="0.25">
      <c r="A316" s="216"/>
      <c r="B316" s="74"/>
      <c r="C316" s="101" t="s">
        <v>124</v>
      </c>
      <c r="D316" s="133"/>
      <c r="E316" s="152"/>
      <c r="F316" s="152"/>
      <c r="G316" s="152"/>
      <c r="H316" s="152"/>
      <c r="I316" s="152"/>
      <c r="J316" s="132"/>
    </row>
    <row r="317" spans="1:10" ht="14.1" customHeight="1" x14ac:dyDescent="0.25">
      <c r="A317" s="216"/>
      <c r="B317" s="74"/>
      <c r="C317" s="152"/>
      <c r="D317" s="159"/>
      <c r="E317" s="152"/>
      <c r="F317" s="152"/>
      <c r="G317" s="152"/>
      <c r="H317" s="152"/>
      <c r="I317" s="152"/>
      <c r="J317" s="132"/>
    </row>
    <row r="318" spans="1:10" ht="14.1" customHeight="1" x14ac:dyDescent="0.25">
      <c r="A318" s="216"/>
      <c r="B318" s="74"/>
      <c r="C318" s="152"/>
      <c r="D318" s="152"/>
      <c r="E318" s="152"/>
      <c r="F318" s="152"/>
      <c r="G318" s="152"/>
      <c r="H318" s="152"/>
      <c r="I318" s="152"/>
      <c r="J318" s="132"/>
    </row>
    <row r="319" spans="1:10" ht="29.25" customHeight="1" x14ac:dyDescent="0.25">
      <c r="A319" s="216"/>
      <c r="B319" s="229"/>
      <c r="C319" s="232" t="s">
        <v>15</v>
      </c>
      <c r="D319" s="232"/>
      <c r="E319" s="232"/>
      <c r="F319" s="232"/>
      <c r="G319" s="232"/>
      <c r="H319" s="232"/>
      <c r="I319" s="232"/>
      <c r="J319" s="236"/>
    </row>
    <row r="320" spans="1:10" ht="78" customHeight="1" x14ac:dyDescent="0.25">
      <c r="A320" s="216"/>
      <c r="B320" s="200"/>
      <c r="C320" s="20" t="s">
        <v>115</v>
      </c>
      <c r="D320" s="22" t="s">
        <v>116</v>
      </c>
      <c r="E320" s="20" t="s">
        <v>140</v>
      </c>
      <c r="F320" s="20" t="s">
        <v>141</v>
      </c>
      <c r="G320" s="25" t="s">
        <v>142</v>
      </c>
      <c r="H320" s="20" t="s">
        <v>143</v>
      </c>
      <c r="I320" s="222"/>
      <c r="J320" s="13"/>
    </row>
    <row r="321" spans="1:10" ht="14.1" customHeight="1" x14ac:dyDescent="0.25">
      <c r="A321" s="216"/>
      <c r="B321" s="74"/>
      <c r="C321" s="263" t="s">
        <v>117</v>
      </c>
      <c r="D321" s="10">
        <v>2241</v>
      </c>
      <c r="E321" s="26">
        <f>E323+E322</f>
        <v>83.160300000000007</v>
      </c>
      <c r="F321" s="26">
        <f>F323+F322</f>
        <v>1809.4946299999999</v>
      </c>
      <c r="G321" s="87">
        <f>D321-F321</f>
        <v>431.50537000000008</v>
      </c>
      <c r="H321" s="26">
        <f>SUM(H322:H323)</f>
        <v>1073.65373</v>
      </c>
      <c r="I321" s="27"/>
      <c r="J321" s="132"/>
    </row>
    <row r="322" spans="1:10" ht="14.1" customHeight="1" x14ac:dyDescent="0.25">
      <c r="A322" s="216"/>
      <c r="B322" s="74"/>
      <c r="C322" s="29" t="s">
        <v>8</v>
      </c>
      <c r="D322" s="206"/>
      <c r="E322" s="207">
        <f>57.703</f>
        <v>57.703000000000003</v>
      </c>
      <c r="F322" s="207">
        <f>1444.57533</f>
        <v>1444.5753299999999</v>
      </c>
      <c r="G322" s="208"/>
      <c r="H322" s="207">
        <f>852.20615</f>
        <v>852.20614999999998</v>
      </c>
      <c r="I322" s="152"/>
      <c r="J322" s="132"/>
    </row>
    <row r="323" spans="1:10" ht="14.1" customHeight="1" x14ac:dyDescent="0.25">
      <c r="A323" s="216"/>
      <c r="B323" s="74"/>
      <c r="C323" s="29" t="s">
        <v>11</v>
      </c>
      <c r="D323" s="209"/>
      <c r="E323" s="210">
        <f>25.4573</f>
        <v>25.4573</v>
      </c>
      <c r="F323" s="210">
        <f>364.9193</f>
        <v>364.91930000000002</v>
      </c>
      <c r="G323" s="211"/>
      <c r="H323" s="210">
        <f>221.44758</f>
        <v>221.44757999999999</v>
      </c>
      <c r="I323" s="152"/>
      <c r="J323" s="132"/>
    </row>
    <row r="324" spans="1:10" ht="14.1" customHeight="1" x14ac:dyDescent="0.25">
      <c r="A324" s="216"/>
      <c r="B324" s="74"/>
      <c r="C324" s="263" t="s">
        <v>118</v>
      </c>
      <c r="D324" s="10">
        <v>1120</v>
      </c>
      <c r="E324" s="26">
        <f>SUM(E325:E326)</f>
        <v>0</v>
      </c>
      <c r="F324" s="26">
        <f>SUM(F325:F326)</f>
        <v>0</v>
      </c>
      <c r="G324" s="87">
        <f>D324-F324</f>
        <v>1120</v>
      </c>
      <c r="H324" s="26">
        <f>SUM(H325:H326)</f>
        <v>0</v>
      </c>
      <c r="I324" s="27"/>
      <c r="J324" s="132"/>
    </row>
    <row r="325" spans="1:10" ht="14.1" customHeight="1" x14ac:dyDescent="0.25">
      <c r="A325" s="216"/>
      <c r="B325" s="74"/>
      <c r="C325" s="29" t="s">
        <v>8</v>
      </c>
      <c r="D325" s="44"/>
      <c r="E325" s="30">
        <f>0</f>
        <v>0</v>
      </c>
      <c r="F325" s="30">
        <f>0</f>
        <v>0</v>
      </c>
      <c r="G325" s="99"/>
      <c r="H325" s="30">
        <f>0</f>
        <v>0</v>
      </c>
      <c r="I325" s="152"/>
      <c r="J325" s="132"/>
    </row>
    <row r="326" spans="1:10" ht="14.1" customHeight="1" x14ac:dyDescent="0.25">
      <c r="A326" s="216"/>
      <c r="B326" s="74"/>
      <c r="C326" s="29" t="s">
        <v>11</v>
      </c>
      <c r="D326" s="219"/>
      <c r="E326" s="30">
        <f>0</f>
        <v>0</v>
      </c>
      <c r="F326" s="30">
        <f>0</f>
        <v>0</v>
      </c>
      <c r="G326" s="110"/>
      <c r="H326" s="30">
        <f>0</f>
        <v>0</v>
      </c>
      <c r="I326" s="152"/>
      <c r="J326" s="132"/>
    </row>
    <row r="327" spans="1:10" ht="14.1" customHeight="1" x14ac:dyDescent="0.25">
      <c r="A327" s="216"/>
      <c r="B327" s="74"/>
      <c r="C327" s="263" t="s">
        <v>119</v>
      </c>
      <c r="D327" s="10">
        <v>0</v>
      </c>
      <c r="E327" s="36">
        <f>SUM(E328:E329)</f>
        <v>0</v>
      </c>
      <c r="F327" s="36">
        <f>SUM(F328:F329)</f>
        <v>0</v>
      </c>
      <c r="G327" s="87">
        <f>D327-F327</f>
        <v>0</v>
      </c>
      <c r="H327" s="36">
        <f>SUM(H328:H329)</f>
        <v>0</v>
      </c>
      <c r="I327" s="152"/>
      <c r="J327" s="132"/>
    </row>
    <row r="328" spans="1:10" ht="14.1" customHeight="1" x14ac:dyDescent="0.25">
      <c r="A328" s="216"/>
      <c r="B328" s="74"/>
      <c r="C328" s="29" t="s">
        <v>8</v>
      </c>
      <c r="D328" s="44"/>
      <c r="E328" s="30">
        <f>0</f>
        <v>0</v>
      </c>
      <c r="F328" s="30">
        <f>0</f>
        <v>0</v>
      </c>
      <c r="G328" s="99"/>
      <c r="H328" s="30">
        <f>0</f>
        <v>0</v>
      </c>
      <c r="I328" s="152"/>
      <c r="J328" s="132"/>
    </row>
    <row r="329" spans="1:10" ht="14.1" customHeight="1" x14ac:dyDescent="0.25">
      <c r="A329" s="216"/>
      <c r="B329" s="74"/>
      <c r="C329" s="29" t="s">
        <v>11</v>
      </c>
      <c r="D329" s="219"/>
      <c r="E329" s="30">
        <f>0</f>
        <v>0</v>
      </c>
      <c r="F329" s="30">
        <f>0</f>
        <v>0</v>
      </c>
      <c r="G329" s="110"/>
      <c r="H329" s="30">
        <f>0</f>
        <v>0</v>
      </c>
      <c r="I329" s="152"/>
      <c r="J329" s="132"/>
    </row>
    <row r="330" spans="1:10" ht="14.1" customHeight="1" x14ac:dyDescent="0.25">
      <c r="A330" s="216"/>
      <c r="B330" s="74"/>
      <c r="C330" s="277" t="s">
        <v>98</v>
      </c>
      <c r="D330" s="37"/>
      <c r="E330" s="39"/>
      <c r="F330" s="39"/>
      <c r="G330" s="40"/>
      <c r="H330" s="39"/>
      <c r="I330" s="152"/>
      <c r="J330" s="132"/>
    </row>
    <row r="331" spans="1:10" ht="14.1" customHeight="1" x14ac:dyDescent="0.25">
      <c r="A331" s="216"/>
      <c r="B331" s="74"/>
      <c r="C331" s="283" t="s">
        <v>88</v>
      </c>
      <c r="D331" s="41">
        <f>D321+D324+D327</f>
        <v>3361</v>
      </c>
      <c r="E331" s="42">
        <f>E321+E324+E327+E330</f>
        <v>83.160300000000007</v>
      </c>
      <c r="F331" s="42">
        <f>F321+F324+F327+F330</f>
        <v>1809.4946299999999</v>
      </c>
      <c r="G331" s="43">
        <f>SUM(G321:G330)</f>
        <v>1551.5053700000001</v>
      </c>
      <c r="H331" s="42">
        <f>H321+H324+H327+H330</f>
        <v>1073.65373</v>
      </c>
      <c r="I331" s="27"/>
      <c r="J331" s="132"/>
    </row>
    <row r="332" spans="1:10" ht="14.1" customHeight="1" x14ac:dyDescent="0.25">
      <c r="A332" s="216"/>
      <c r="B332" s="74"/>
      <c r="C332" s="152"/>
      <c r="D332" s="159"/>
      <c r="E332" s="152"/>
      <c r="F332" s="152"/>
      <c r="G332" s="152"/>
      <c r="H332" s="152"/>
      <c r="I332" s="152"/>
      <c r="J332" s="132"/>
    </row>
    <row r="333" spans="1:10" ht="14.1" customHeight="1" x14ac:dyDescent="0.25">
      <c r="A333" s="216"/>
      <c r="B333" s="8"/>
      <c r="C333" s="212"/>
      <c r="D333" s="202"/>
      <c r="E333" s="212"/>
      <c r="F333" s="212"/>
      <c r="G333" s="212"/>
      <c r="H333" s="212"/>
      <c r="I333" s="212"/>
      <c r="J333" s="12"/>
    </row>
    <row r="334" spans="1:10" ht="0" hidden="1" customHeight="1" x14ac:dyDescent="0.25"/>
    <row r="335" spans="1:10" ht="0" hidden="1" customHeight="1" x14ac:dyDescent="0.25"/>
    <row r="336" spans="1:10" ht="0" hidden="1" customHeight="1" x14ac:dyDescent="0.25"/>
    <row r="337" ht="0" hidden="1" customHeight="1" x14ac:dyDescent="0.25"/>
    <row r="338" ht="0" hidden="1" customHeight="1" x14ac:dyDescent="0.25"/>
    <row r="339" ht="0" hidden="1" customHeight="1" x14ac:dyDescent="0.25"/>
    <row r="340" ht="0" hidden="1" customHeight="1" x14ac:dyDescent="0.25"/>
    <row r="341" ht="0" hidden="1" customHeight="1" x14ac:dyDescent="0.25"/>
    <row r="342" ht="0" hidden="1" customHeight="1" x14ac:dyDescent="0.25"/>
    <row r="343" ht="0" hidden="1" customHeight="1" x14ac:dyDescent="0.25"/>
    <row r="344" ht="0" hidden="1" customHeight="1" x14ac:dyDescent="0.25"/>
    <row r="345" ht="0" hidden="1" customHeight="1" x14ac:dyDescent="0.25"/>
    <row r="346" ht="0" hidden="1" customHeight="1" x14ac:dyDescent="0.25"/>
    <row r="347" ht="0" hidden="1" customHeight="1" x14ac:dyDescent="0.25"/>
    <row r="348" ht="0" hidden="1" customHeight="1" x14ac:dyDescent="0.25"/>
    <row r="349" ht="0" hidden="1" customHeight="1" x14ac:dyDescent="0.25"/>
    <row r="350" ht="0" hidden="1" customHeight="1" x14ac:dyDescent="0.25"/>
    <row r="351" ht="0" hidden="1" customHeight="1" x14ac:dyDescent="0.25"/>
    <row r="352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13&amp;R03.04.2023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2023-04-03T08:04:25Z</dcterms:modified>
</cp:coreProperties>
</file>