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lmal\03 - Ukestatistikk\"/>
    </mc:Choice>
  </mc:AlternateContent>
  <xr:revisionPtr revIDLastSave="0" documentId="13_ncr:1_{017744DF-E8D7-4257-A92E-346A1ABD132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ukesstatistikk!$B$1:$J$350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4" i="1" l="1"/>
  <c r="G121" i="1" s="1"/>
  <c r="G120" i="1" s="1"/>
  <c r="G125" i="1"/>
  <c r="G119" i="1"/>
  <c r="H119" i="1" s="1"/>
  <c r="H345" i="1"/>
  <c r="F345" i="1"/>
  <c r="E345" i="1"/>
  <c r="D345" i="1"/>
  <c r="G344" i="1"/>
  <c r="G345" i="1" s="1"/>
  <c r="G343" i="1"/>
  <c r="E336" i="1"/>
  <c r="D324" i="1"/>
  <c r="H323" i="1"/>
  <c r="H324" i="1" s="1"/>
  <c r="F323" i="1"/>
  <c r="F324" i="1" s="1"/>
  <c r="E323" i="1"/>
  <c r="E324" i="1" s="1"/>
  <c r="H322" i="1"/>
  <c r="F322" i="1"/>
  <c r="G322" i="1" s="1"/>
  <c r="E322" i="1"/>
  <c r="E315" i="1"/>
  <c r="D315" i="1"/>
  <c r="D304" i="1"/>
  <c r="H303" i="1"/>
  <c r="F303" i="1"/>
  <c r="G303" i="1" s="1"/>
  <c r="E303" i="1"/>
  <c r="H302" i="1"/>
  <c r="F302" i="1"/>
  <c r="E302" i="1"/>
  <c r="H301" i="1"/>
  <c r="H300" i="1" s="1"/>
  <c r="F301" i="1"/>
  <c r="E301" i="1"/>
  <c r="E300" i="1" s="1"/>
  <c r="F300" i="1"/>
  <c r="G300" i="1" s="1"/>
  <c r="H299" i="1"/>
  <c r="F299" i="1"/>
  <c r="E299" i="1"/>
  <c r="H298" i="1"/>
  <c r="F298" i="1"/>
  <c r="F297" i="1" s="1"/>
  <c r="G297" i="1" s="1"/>
  <c r="E298" i="1"/>
  <c r="H297" i="1"/>
  <c r="E297" i="1"/>
  <c r="H296" i="1"/>
  <c r="F296" i="1"/>
  <c r="E296" i="1"/>
  <c r="H295" i="1"/>
  <c r="H294" i="1" s="1"/>
  <c r="F295" i="1"/>
  <c r="F294" i="1" s="1"/>
  <c r="E295" i="1"/>
  <c r="E294" i="1"/>
  <c r="E304" i="1" s="1"/>
  <c r="D273" i="1"/>
  <c r="I272" i="1"/>
  <c r="H272" i="1"/>
  <c r="G272" i="1"/>
  <c r="F272" i="1"/>
  <c r="I271" i="1"/>
  <c r="G271" i="1"/>
  <c r="H271" i="1" s="1"/>
  <c r="F271" i="1"/>
  <c r="I270" i="1"/>
  <c r="G270" i="1"/>
  <c r="G268" i="1" s="1"/>
  <c r="H268" i="1" s="1"/>
  <c r="F270" i="1"/>
  <c r="I269" i="1"/>
  <c r="I268" i="1" s="1"/>
  <c r="G269" i="1"/>
  <c r="F269" i="1"/>
  <c r="F268" i="1"/>
  <c r="I267" i="1"/>
  <c r="G267" i="1"/>
  <c r="H267" i="1" s="1"/>
  <c r="F267" i="1"/>
  <c r="I266" i="1"/>
  <c r="H266" i="1"/>
  <c r="G266" i="1"/>
  <c r="F266" i="1"/>
  <c r="I265" i="1"/>
  <c r="I262" i="1" s="1"/>
  <c r="G265" i="1"/>
  <c r="G262" i="1" s="1"/>
  <c r="G273" i="1" s="1"/>
  <c r="F265" i="1"/>
  <c r="I264" i="1"/>
  <c r="H264" i="1"/>
  <c r="G264" i="1"/>
  <c r="F264" i="1"/>
  <c r="I263" i="1"/>
  <c r="G263" i="1"/>
  <c r="H263" i="1" s="1"/>
  <c r="F263" i="1"/>
  <c r="F262" i="1"/>
  <c r="F273" i="1" s="1"/>
  <c r="E262" i="1"/>
  <c r="E273" i="1" s="1"/>
  <c r="D262" i="1"/>
  <c r="H254" i="1"/>
  <c r="F254" i="1"/>
  <c r="E241" i="1"/>
  <c r="D241" i="1"/>
  <c r="H240" i="1"/>
  <c r="G240" i="1"/>
  <c r="F240" i="1"/>
  <c r="E240" i="1"/>
  <c r="H239" i="1"/>
  <c r="F239" i="1"/>
  <c r="G239" i="1" s="1"/>
  <c r="E239" i="1"/>
  <c r="H238" i="1"/>
  <c r="G238" i="1"/>
  <c r="F238" i="1"/>
  <c r="E238" i="1"/>
  <c r="H237" i="1"/>
  <c r="H241" i="1" s="1"/>
  <c r="F237" i="1"/>
  <c r="F241" i="1" s="1"/>
  <c r="G241" i="1" s="1"/>
  <c r="E237" i="1"/>
  <c r="D219" i="1"/>
  <c r="G219" i="1" s="1"/>
  <c r="H218" i="1"/>
  <c r="G218" i="1"/>
  <c r="F218" i="1"/>
  <c r="E218" i="1"/>
  <c r="H217" i="1"/>
  <c r="F217" i="1"/>
  <c r="E217" i="1"/>
  <c r="H216" i="1"/>
  <c r="H215" i="1" s="1"/>
  <c r="H219" i="1" s="1"/>
  <c r="F216" i="1"/>
  <c r="E216" i="1"/>
  <c r="E215" i="1" s="1"/>
  <c r="E219" i="1" s="1"/>
  <c r="F215" i="1"/>
  <c r="F219" i="1" s="1"/>
  <c r="D206" i="1"/>
  <c r="H205" i="1"/>
  <c r="G205" i="1"/>
  <c r="F205" i="1"/>
  <c r="E205" i="1"/>
  <c r="H204" i="1"/>
  <c r="F204" i="1"/>
  <c r="E204" i="1"/>
  <c r="H203" i="1"/>
  <c r="H202" i="1" s="1"/>
  <c r="H206" i="1" s="1"/>
  <c r="F203" i="1"/>
  <c r="E203" i="1"/>
  <c r="E202" i="1" s="1"/>
  <c r="E206" i="1" s="1"/>
  <c r="F202" i="1"/>
  <c r="G202" i="1" s="1"/>
  <c r="E192" i="1"/>
  <c r="D192" i="1"/>
  <c r="I191" i="1"/>
  <c r="G191" i="1"/>
  <c r="H191" i="1" s="1"/>
  <c r="F191" i="1"/>
  <c r="I190" i="1"/>
  <c r="G190" i="1"/>
  <c r="H190" i="1" s="1"/>
  <c r="F190" i="1"/>
  <c r="F192" i="1" s="1"/>
  <c r="I189" i="1"/>
  <c r="I192" i="1" s="1"/>
  <c r="G189" i="1"/>
  <c r="H189" i="1" s="1"/>
  <c r="F189" i="1"/>
  <c r="D169" i="1"/>
  <c r="H168" i="1"/>
  <c r="G168" i="1"/>
  <c r="F168" i="1"/>
  <c r="E168" i="1"/>
  <c r="H167" i="1"/>
  <c r="G167" i="1"/>
  <c r="F167" i="1"/>
  <c r="E167" i="1"/>
  <c r="H166" i="1"/>
  <c r="F166" i="1"/>
  <c r="E166" i="1"/>
  <c r="H165" i="1"/>
  <c r="F165" i="1"/>
  <c r="E165" i="1"/>
  <c r="E163" i="1" s="1"/>
  <c r="H164" i="1"/>
  <c r="F164" i="1"/>
  <c r="F163" i="1" s="1"/>
  <c r="G163" i="1" s="1"/>
  <c r="E164" i="1"/>
  <c r="H163" i="1"/>
  <c r="H162" i="1"/>
  <c r="F162" i="1"/>
  <c r="F169" i="1" s="1"/>
  <c r="E162" i="1"/>
  <c r="H161" i="1"/>
  <c r="F161" i="1"/>
  <c r="E161" i="1"/>
  <c r="H160" i="1"/>
  <c r="H169" i="1" s="1"/>
  <c r="G160" i="1"/>
  <c r="F160" i="1"/>
  <c r="E160" i="1"/>
  <c r="E169" i="1" s="1"/>
  <c r="I135" i="1"/>
  <c r="H135" i="1"/>
  <c r="G135" i="1"/>
  <c r="F135" i="1"/>
  <c r="I134" i="1"/>
  <c r="G134" i="1"/>
  <c r="H134" i="1" s="1"/>
  <c r="F134" i="1"/>
  <c r="H133" i="1"/>
  <c r="I132" i="1"/>
  <c r="G132" i="1"/>
  <c r="H132" i="1" s="1"/>
  <c r="F132" i="1"/>
  <c r="I131" i="1"/>
  <c r="G131" i="1"/>
  <c r="H131" i="1" s="1"/>
  <c r="F131" i="1"/>
  <c r="I130" i="1"/>
  <c r="G130" i="1"/>
  <c r="H130" i="1" s="1"/>
  <c r="F130" i="1"/>
  <c r="I129" i="1"/>
  <c r="G129" i="1"/>
  <c r="H129" i="1" s="1"/>
  <c r="F129" i="1"/>
  <c r="I128" i="1"/>
  <c r="I126" i="1" s="1"/>
  <c r="G128" i="1"/>
  <c r="H128" i="1" s="1"/>
  <c r="F128" i="1"/>
  <c r="I127" i="1"/>
  <c r="G127" i="1"/>
  <c r="H127" i="1" s="1"/>
  <c r="H126" i="1" s="1"/>
  <c r="F127" i="1"/>
  <c r="F126" i="1" s="1"/>
  <c r="G126" i="1"/>
  <c r="E126" i="1"/>
  <c r="D126" i="1"/>
  <c r="I125" i="1"/>
  <c r="H125" i="1"/>
  <c r="F125" i="1"/>
  <c r="I124" i="1"/>
  <c r="H124" i="1"/>
  <c r="F124" i="1"/>
  <c r="I123" i="1"/>
  <c r="G123" i="1"/>
  <c r="H123" i="1" s="1"/>
  <c r="F123" i="1"/>
  <c r="I122" i="1"/>
  <c r="I121" i="1" s="1"/>
  <c r="I120" i="1" s="1"/>
  <c r="H122" i="1"/>
  <c r="G122" i="1"/>
  <c r="F122" i="1"/>
  <c r="F121" i="1" s="1"/>
  <c r="F120" i="1" s="1"/>
  <c r="E121" i="1"/>
  <c r="D121" i="1"/>
  <c r="D120" i="1" s="1"/>
  <c r="D137" i="1" s="1"/>
  <c r="E120" i="1"/>
  <c r="I119" i="1"/>
  <c r="F119" i="1"/>
  <c r="I118" i="1"/>
  <c r="G118" i="1"/>
  <c r="H118" i="1" s="1"/>
  <c r="F118" i="1"/>
  <c r="I117" i="1"/>
  <c r="H117" i="1"/>
  <c r="G117" i="1"/>
  <c r="F117" i="1"/>
  <c r="I116" i="1"/>
  <c r="G116" i="1"/>
  <c r="H116" i="1" s="1"/>
  <c r="H115" i="1" s="1"/>
  <c r="F116" i="1"/>
  <c r="I115" i="1"/>
  <c r="F115" i="1"/>
  <c r="F137" i="1" s="1"/>
  <c r="E115" i="1"/>
  <c r="E137" i="1" s="1"/>
  <c r="D115" i="1"/>
  <c r="C113" i="1"/>
  <c r="I93" i="1"/>
  <c r="H93" i="1"/>
  <c r="G93" i="1"/>
  <c r="F93" i="1"/>
  <c r="I92" i="1"/>
  <c r="G92" i="1"/>
  <c r="H92" i="1" s="1"/>
  <c r="F92" i="1"/>
  <c r="I91" i="1"/>
  <c r="H91" i="1"/>
  <c r="G91" i="1"/>
  <c r="F91" i="1"/>
  <c r="I90" i="1"/>
  <c r="G90" i="1"/>
  <c r="H90" i="1" s="1"/>
  <c r="F90" i="1"/>
  <c r="I89" i="1"/>
  <c r="H89" i="1"/>
  <c r="G89" i="1"/>
  <c r="F89" i="1"/>
  <c r="I88" i="1"/>
  <c r="G88" i="1"/>
  <c r="H88" i="1" s="1"/>
  <c r="F88" i="1"/>
  <c r="I87" i="1"/>
  <c r="H87" i="1"/>
  <c r="G87" i="1"/>
  <c r="F87" i="1"/>
  <c r="I86" i="1"/>
  <c r="G86" i="1"/>
  <c r="H86" i="1" s="1"/>
  <c r="F86" i="1"/>
  <c r="I85" i="1"/>
  <c r="H85" i="1"/>
  <c r="G85" i="1"/>
  <c r="F85" i="1"/>
  <c r="I84" i="1"/>
  <c r="G84" i="1"/>
  <c r="G83" i="1" s="1"/>
  <c r="G82" i="1" s="1"/>
  <c r="F84" i="1"/>
  <c r="I83" i="1"/>
  <c r="I82" i="1" s="1"/>
  <c r="F83" i="1"/>
  <c r="E83" i="1"/>
  <c r="D83" i="1"/>
  <c r="F82" i="1"/>
  <c r="E82" i="1"/>
  <c r="D82" i="1"/>
  <c r="I81" i="1"/>
  <c r="G81" i="1"/>
  <c r="G79" i="1" s="1"/>
  <c r="F81" i="1"/>
  <c r="I80" i="1"/>
  <c r="I79" i="1" s="1"/>
  <c r="I94" i="1" s="1"/>
  <c r="H80" i="1"/>
  <c r="G80" i="1"/>
  <c r="F80" i="1"/>
  <c r="F79" i="1" s="1"/>
  <c r="F94" i="1" s="1"/>
  <c r="E79" i="1"/>
  <c r="E94" i="1" s="1"/>
  <c r="D79" i="1"/>
  <c r="D94" i="1" s="1"/>
  <c r="C76" i="1"/>
  <c r="H72" i="1"/>
  <c r="F72" i="1"/>
  <c r="D72" i="1"/>
  <c r="H58" i="1"/>
  <c r="H57" i="1"/>
  <c r="I52" i="1"/>
  <c r="I31" i="1" s="1"/>
  <c r="I26" i="1" s="1"/>
  <c r="H52" i="1"/>
  <c r="G52" i="1"/>
  <c r="F52" i="1"/>
  <c r="F31" i="1" s="1"/>
  <c r="F26" i="1" s="1"/>
  <c r="I41" i="1"/>
  <c r="H41" i="1"/>
  <c r="G41" i="1"/>
  <c r="F41" i="1"/>
  <c r="I40" i="1"/>
  <c r="H40" i="1"/>
  <c r="G40" i="1"/>
  <c r="F40" i="1"/>
  <c r="I39" i="1"/>
  <c r="H39" i="1"/>
  <c r="G39" i="1"/>
  <c r="F39" i="1"/>
  <c r="I38" i="1"/>
  <c r="G38" i="1"/>
  <c r="H38" i="1" s="1"/>
  <c r="F38" i="1"/>
  <c r="I37" i="1"/>
  <c r="H37" i="1"/>
  <c r="G37" i="1"/>
  <c r="F37" i="1"/>
  <c r="I36" i="1"/>
  <c r="H36" i="1"/>
  <c r="G36" i="1"/>
  <c r="F36" i="1"/>
  <c r="I35" i="1"/>
  <c r="H35" i="1"/>
  <c r="G35" i="1"/>
  <c r="F35" i="1"/>
  <c r="I34" i="1"/>
  <c r="I33" i="1" s="1"/>
  <c r="G34" i="1"/>
  <c r="G33" i="1" s="1"/>
  <c r="F34" i="1"/>
  <c r="F33" i="1" s="1"/>
  <c r="F25" i="1" s="1"/>
  <c r="E33" i="1"/>
  <c r="D33" i="1"/>
  <c r="I32" i="1"/>
  <c r="H32" i="1"/>
  <c r="G32" i="1"/>
  <c r="F32" i="1"/>
  <c r="G31" i="1"/>
  <c r="H31" i="1" s="1"/>
  <c r="I30" i="1"/>
  <c r="H30" i="1"/>
  <c r="G30" i="1"/>
  <c r="F30" i="1"/>
  <c r="I29" i="1"/>
  <c r="G29" i="1"/>
  <c r="H29" i="1" s="1"/>
  <c r="F29" i="1"/>
  <c r="I28" i="1"/>
  <c r="H28" i="1"/>
  <c r="G28" i="1"/>
  <c r="F28" i="1"/>
  <c r="I27" i="1"/>
  <c r="G27" i="1"/>
  <c r="G26" i="1" s="1"/>
  <c r="F27" i="1"/>
  <c r="E26" i="1"/>
  <c r="E25" i="1" s="1"/>
  <c r="D26" i="1"/>
  <c r="D25" i="1"/>
  <c r="I24" i="1"/>
  <c r="G24" i="1"/>
  <c r="H24" i="1" s="1"/>
  <c r="H22" i="1" s="1"/>
  <c r="F24" i="1"/>
  <c r="I23" i="1"/>
  <c r="I22" i="1" s="1"/>
  <c r="H23" i="1"/>
  <c r="G23" i="1"/>
  <c r="F23" i="1"/>
  <c r="F22" i="1" s="1"/>
  <c r="G22" i="1"/>
  <c r="E22" i="1"/>
  <c r="E42" i="1" s="1"/>
  <c r="D22" i="1"/>
  <c r="D42" i="1" s="1"/>
  <c r="H16" i="1"/>
  <c r="F16" i="1"/>
  <c r="D16" i="1"/>
  <c r="H34" i="1" l="1"/>
  <c r="F42" i="1"/>
  <c r="G25" i="1"/>
  <c r="G42" i="1" s="1"/>
  <c r="H33" i="1"/>
  <c r="H25" i="1" s="1"/>
  <c r="H42" i="1" s="1"/>
  <c r="G94" i="1"/>
  <c r="I137" i="1"/>
  <c r="H121" i="1"/>
  <c r="H120" i="1" s="1"/>
  <c r="H137" i="1" s="1"/>
  <c r="F304" i="1"/>
  <c r="G304" i="1" s="1"/>
  <c r="G294" i="1"/>
  <c r="G169" i="1"/>
  <c r="H304" i="1"/>
  <c r="I25" i="1"/>
  <c r="I42" i="1" s="1"/>
  <c r="I273" i="1"/>
  <c r="H81" i="1"/>
  <c r="H79" i="1" s="1"/>
  <c r="H84" i="1"/>
  <c r="H83" i="1" s="1"/>
  <c r="H82" i="1" s="1"/>
  <c r="G115" i="1"/>
  <c r="G137" i="1" s="1"/>
  <c r="G192" i="1"/>
  <c r="H192" i="1" s="1"/>
  <c r="G215" i="1"/>
  <c r="H265" i="1"/>
  <c r="H262" i="1" s="1"/>
  <c r="H273" i="1" s="1"/>
  <c r="H27" i="1"/>
  <c r="H26" i="1" s="1"/>
  <c r="G323" i="1"/>
  <c r="G324" i="1" s="1"/>
  <c r="F206" i="1"/>
  <c r="G206" i="1" s="1"/>
  <c r="G237" i="1"/>
  <c r="G162" i="1"/>
  <c r="H94" i="1" l="1"/>
</calcChain>
</file>

<file path=xl/sharedStrings.xml><?xml version="1.0" encoding="utf-8"?>
<sst xmlns="http://schemas.openxmlformats.org/spreadsheetml/2006/main" count="391" uniqueCount="166">
  <si>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</si>
  <si>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</si>
  <si>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</si>
  <si>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</si>
  <si>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</si>
  <si>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</si>
  <si>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</si>
  <si>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</si>
  <si>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</si>
  <si>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</si>
  <si>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</si>
  <si>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</si>
  <si>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</si>
  <si>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</si>
  <si>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</si>
  <si>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</si>
  <si>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</si>
  <si>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</si>
  <si>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</si>
  <si>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</si>
  <si>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</si>
  <si>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</si>
  <si>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</si>
  <si>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</si>
  <si>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</si>
  <si>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</si>
  <si>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</si>
  <si>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</si>
  <si>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</si>
  <si>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</si>
  <si>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</si>
  <si>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</si>
  <si>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</si>
  <si>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</si>
  <si>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</si>
  <si>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</si>
  <si>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</si>
  <si>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</si>
  <si>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</si>
  <si>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</si>
  <si>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</si>
  <si>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</si>
  <si>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</si>
  <si>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</si>
  <si>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</si>
  <si>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</si>
  <si>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</si>
  <si>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</si>
  <si>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</si>
  <si>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</si>
  <si>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</si>
  <si>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</si>
  <si>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</si>
  <si>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</si>
  <si>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</si>
  <si>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</si>
  <si>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</si>
  <si>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</si>
  <si>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</si>
  <si>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</si>
  <si>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</si>
  <si>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</si>
  <si>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</si>
  <si>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</si>
  <si>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</si>
  <si>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</si>
  <si>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</si>
  <si>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</si>
  <si>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</si>
  <si>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</si>
  <si>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</si>
  <si>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</si>
  <si>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</si>
  <si>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</si>
  <si>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</si>
  <si>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</si>
  <si>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</si>
  <si>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</si>
  <si>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</si>
  <si>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</si>
  <si>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</si>
  <si>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</si>
  <si>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</si>
  <si>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</si>
  <si>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</si>
  <si>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</si>
  <si>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</si>
  <si>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</si>
  <si>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</si>
  <si>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</si>
  <si>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</si>
  <si>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</si>
  <si>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</si>
  <si>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</si>
  <si>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</si>
  <si>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</si>
  <si>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</si>
  <si>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</si>
  <si>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</si>
  <si>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</si>
  <si>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</si>
  <si>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</si>
  <si>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</si>
  <si>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</si>
  <si>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</si>
  <si>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</si>
  <si>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</si>
  <si>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</si>
  <si>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</si>
  <si>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</si>
  <si>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</si>
  <si>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</si>
  <si>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</si>
  <si>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</si>
  <si>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</si>
  <si>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</si>
  <si>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</si>
  <si>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</si>
  <si>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</si>
  <si>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</si>
  <si>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</si>
  <si>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t>JUSTERTE KVOTER</t>
    </r>
    <r>
      <rPr>
        <b/>
        <vertAlign val="superscript"/>
        <sz val="12"/>
        <color theme="1"/>
        <rFont val="Calibri"/>
        <family val="2"/>
      </rPr>
      <t>3</t>
    </r>
  </si>
  <si>
    <r>
      <t>JUSTERTE KVOTER</t>
    </r>
    <r>
      <rPr>
        <b/>
        <vertAlign val="superscript"/>
        <sz val="12"/>
        <color indexed="8"/>
        <rFont val="Calibri"/>
        <family val="2"/>
      </rPr>
      <t>1</t>
    </r>
  </si>
  <si>
    <r>
      <t>Norge</t>
    </r>
    <r>
      <rPr>
        <vertAlign val="superscript"/>
        <sz val="11"/>
        <color rgb="FFFF0000"/>
        <rFont val="Calibri"/>
        <family val="2"/>
      </rPr>
      <t>1</t>
    </r>
  </si>
  <si>
    <t>HYSE I NORDSJØEN OG SKAGERRAK</t>
  </si>
  <si>
    <r>
      <t>SKAGERRAK</t>
    </r>
    <r>
      <rPr>
        <b/>
        <vertAlign val="superscript"/>
        <sz val="12"/>
        <color theme="1"/>
        <rFont val="Calibri"/>
        <family val="2"/>
      </rPr>
      <t>1</t>
    </r>
  </si>
  <si>
    <t>NORDSJØEN</t>
  </si>
  <si>
    <t>UK</t>
  </si>
  <si>
    <t>1  I tillegg kan inntil 1 102 tonn av den norske kvoten i Nordsjøen fiskes i Skagerrak.</t>
  </si>
  <si>
    <t>FANGST UKE 8</t>
  </si>
  <si>
    <t>FANGST T.O.M UKE 8</t>
  </si>
  <si>
    <t>RESTKVOTER UKE 8</t>
  </si>
  <si>
    <t>FANGST T.O.M UKE 8 2024</t>
  </si>
  <si>
    <r>
      <t>Skagerrak</t>
    </r>
    <r>
      <rPr>
        <b/>
        <vertAlign val="superscript"/>
        <sz val="11"/>
        <color rgb="FF000000"/>
        <rFont val="Calibri"/>
        <family val="2"/>
      </rPr>
      <t xml:space="preserve">1 </t>
    </r>
  </si>
  <si>
    <t xml:space="preserve">Nordsjøen </t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</si>
  <si>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1 102 tonn av den norske kvoten i Nordsjøen fiskes i Skagerrak.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</si>
  <si>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for åpen gruppe og kystfiskeordningen baseres på beregninger fra Norges Råfisklag</t>
    </r>
  </si>
  <si>
    <t>Ferskfiskordning lukket gruppe</t>
  </si>
  <si>
    <t>STATISTIKK OM FERSKFISKORDNINGEN OG KYSTFISKEORDNINGEN</t>
  </si>
  <si>
    <t>FANGST AV TORSK, HYSE, SEI, BLÅKVEITE, SNABELUER, LANGE, BROSME OG REKER I 2026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</si>
  <si>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2 543 tonn avsatt til rekrutteringsordningen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</si>
  <si>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2025.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</si>
  <si>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29. juni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</si>
  <si>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953 tonn avsatt til rekrutteringsordningen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</si>
  <si>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Kvoter justert for kvotefleksibilitet, dvs. kvoteoverføringer fra 2025</t>
    </r>
  </si>
  <si>
    <t>Avsetninger1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</si>
  <si>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156 tonn til forsknings- og undervisningskvoter, 2 000 tonn til fangst innenfor ungdomsfiskeordningen og rekreasjonsfiske, 350 tonn til agnformål og 1 652 tonn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</si>
  <si>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2025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</si>
  <si>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Periodekvote første periode: 5 230 tonn, periodekvote andre periode: 0 tonn, bifangstavsetning: 400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</si>
  <si>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Av den norske kvoten er det avsatt 46 tonn til forsknings- og undervisningsformål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</si>
  <si>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14 452 tonn i et direktefiske etter snabeluer og 1 100 tonn til dekning av bifangst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</si>
  <si>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2 836 tonn i Fiskevernsonen ved Svalbard og 4 082 tonn i internasjonalt farvann i Norskehavet. I tillegg er det avsatt 1 000 tonn snabeluer til EU-fartøys fiske. </t>
    </r>
  </si>
  <si>
    <r>
      <rPr>
        <vertAlign val="superscript"/>
        <sz val="9"/>
        <color indexed="8"/>
        <rFont val="Calibri"/>
        <family val="2"/>
      </rPr>
      <t>1</t>
    </r>
    <r>
      <rPr>
        <sz val="9"/>
        <color indexed="8"/>
        <rFont val="Calibri"/>
        <family val="2"/>
      </rPr>
      <t xml:space="preserve">  Kvoter justert for kvotefleksibilitet, dvs. kvoteoverføringer fra 2025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</si>
  <si>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2025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</si>
  <si>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2025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</si>
  <si>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 xml:space="preserve"> I tillegg kan inntil 2 124 tonn av den norske kvoten i Nordsjøen fiskes i Skagerrak.</t>
    </r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</si>
  <si>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2 124 tonn av den norske kvoten i Nordsjøen fiskes i Skagerrak.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</si>
  <si>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1 397 tonn avsatt til rekrutteringsordningen</t>
    </r>
  </si>
  <si>
    <t>2 Registrert rekreasjonsfiske utgjør 36 tonn, men det legges til grunn at hele avsetningen tas</t>
  </si>
  <si>
    <t>4 Registrert rekreasjonsfiske utgjør 155 tonn, men det legges til grunn at hele avsetningen tas</t>
  </si>
  <si>
    <t>3 Registrert rekreasjonsfiske utgjør 609 tonn, men det legges til grunn at hele avsetningen tas</t>
  </si>
  <si>
    <t>FANGST UKE 19</t>
  </si>
  <si>
    <t>FANGST T.O.M UKE 19</t>
  </si>
  <si>
    <t>RESTKVOTER UKE 19</t>
  </si>
  <si>
    <t>FANGST T.O.M UKE 19 2025</t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</si>
  <si>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Det er fisket 311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</si>
</sst>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5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sz val="9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2"/>
      <color theme="1"/>
      <name val="Calibri"/>
    </font>
    <font>
      <b/>
      <sz val="20"/>
      <color theme="4" tint="-0.249977111117893"/>
      <name val="Calibri"/>
      <family val="2"/>
    </font>
    <font>
      <sz val="8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rgb="FFFF0000"/>
      <name val="Calibri"/>
      <family val="2"/>
    </font>
    <font>
      <b/>
      <vertAlign val="superscript"/>
      <sz val="11"/>
      <color rgb="FF000000"/>
      <name val="Calibri"/>
      <family val="2"/>
    </font>
    <font>
      <vertAlign val="superscript"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3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3" fontId="5" fillId="2" borderId="1" xfId="0" applyNumberFormat="1" applyFont="1" applyFill="1" applyBorder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1" fillId="0" borderId="2" xfId="0" applyFont="1" applyBorder="1"/>
    <xf numFmtId="0" fontId="6" fillId="0" borderId="3" xfId="0" applyFont="1" applyBorder="1" applyAlignment="1">
      <alignment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 wrapText="1"/>
    </xf>
    <xf numFmtId="0" fontId="1" fillId="0" borderId="6" xfId="0" applyFont="1" applyBorder="1"/>
    <xf numFmtId="0" fontId="6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7" xfId="0" applyFont="1" applyBorder="1"/>
    <xf numFmtId="0" fontId="3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3" fontId="12" fillId="0" borderId="5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7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7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vertical="center" wrapText="1"/>
    </xf>
    <xf numFmtId="3" fontId="12" fillId="0" borderId="18" xfId="0" applyNumberFormat="1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 indent="1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horizontal="right" vertical="center"/>
    </xf>
    <xf numFmtId="3" fontId="7" fillId="0" borderId="18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3" fontId="1" fillId="0" borderId="25" xfId="0" applyNumberFormat="1" applyFont="1" applyBorder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5" fillId="2" borderId="13" xfId="0" applyFont="1" applyFill="1" applyBorder="1" applyAlignment="1">
      <alignment horizontal="center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3" fontId="16" fillId="0" borderId="24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0" fontId="1" fillId="0" borderId="29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vertical="center" wrapText="1"/>
    </xf>
    <xf numFmtId="9" fontId="1" fillId="0" borderId="7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7" fillId="0" borderId="30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7" fillId="0" borderId="8" xfId="0" applyFont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3" fontId="16" fillId="0" borderId="27" xfId="0" applyNumberFormat="1" applyFont="1" applyBorder="1" applyAlignment="1">
      <alignment horizontal="right" vertical="center" wrapText="1"/>
    </xf>
    <xf numFmtId="3" fontId="5" fillId="2" borderId="31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7" fillId="0" borderId="14" xfId="0" applyFont="1" applyBorder="1" applyAlignment="1">
      <alignment vertical="center"/>
    </xf>
    <xf numFmtId="3" fontId="11" fillId="0" borderId="0" xfId="0" applyNumberFormat="1" applyFont="1" applyAlignment="1">
      <alignment vertical="center" wrapText="1"/>
    </xf>
    <xf numFmtId="164" fontId="19" fillId="0" borderId="7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5" fillId="2" borderId="32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3" fontId="12" fillId="0" borderId="4" xfId="0" applyNumberFormat="1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3" fontId="7" fillId="0" borderId="33" xfId="0" applyNumberFormat="1" applyFont="1" applyBorder="1" applyAlignment="1">
      <alignment horizontal="right" vertical="center" wrapText="1"/>
    </xf>
    <xf numFmtId="3" fontId="7" fillId="0" borderId="34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 wrapText="1"/>
    </xf>
    <xf numFmtId="0" fontId="7" fillId="0" borderId="8" xfId="0" applyFont="1" applyBorder="1" applyAlignment="1">
      <alignment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horizontal="right" vertical="center" wrapText="1"/>
    </xf>
    <xf numFmtId="0" fontId="1" fillId="0" borderId="18" xfId="0" applyFont="1" applyBorder="1" applyAlignment="1">
      <alignment vertical="center"/>
    </xf>
    <xf numFmtId="0" fontId="11" fillId="0" borderId="0" xfId="0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7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3" fontId="12" fillId="0" borderId="37" xfId="0" applyNumberFormat="1" applyFont="1" applyBorder="1" applyAlignment="1">
      <alignment vertical="center"/>
    </xf>
    <xf numFmtId="0" fontId="11" fillId="0" borderId="38" xfId="0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3" fontId="1" fillId="0" borderId="18" xfId="0" applyNumberFormat="1" applyFont="1" applyBorder="1" applyAlignment="1">
      <alignment horizontal="right" vertical="center" indent="1"/>
    </xf>
    <xf numFmtId="0" fontId="1" fillId="0" borderId="3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2" borderId="39" xfId="0" applyFont="1" applyFill="1" applyBorder="1" applyAlignment="1">
      <alignment horizontal="center" vertical="center" wrapText="1"/>
    </xf>
    <xf numFmtId="3" fontId="1" fillId="0" borderId="35" xfId="0" applyNumberFormat="1" applyFont="1" applyBorder="1" applyAlignment="1">
      <alignment horizontal="right" vertical="center" indent="1"/>
    </xf>
    <xf numFmtId="0" fontId="1" fillId="0" borderId="6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0" xfId="0" applyNumberFormat="1" applyFont="1" applyBorder="1" applyAlignment="1">
      <alignment horizontal="right" vertical="center" wrapText="1"/>
    </xf>
    <xf numFmtId="0" fontId="1" fillId="0" borderId="41" xfId="0" applyFont="1" applyBorder="1"/>
    <xf numFmtId="3" fontId="16" fillId="0" borderId="5" xfId="0" applyNumberFormat="1" applyFont="1" applyBorder="1" applyAlignment="1">
      <alignment horizontal="right" vertical="center" wrapText="1"/>
    </xf>
    <xf numFmtId="0" fontId="20" fillId="0" borderId="14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3" fontId="7" fillId="0" borderId="8" xfId="0" applyNumberFormat="1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1" fillId="0" borderId="7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7" xfId="0" applyFont="1" applyBorder="1" applyAlignment="1">
      <alignment vertical="center"/>
    </xf>
    <xf numFmtId="3" fontId="16" fillId="0" borderId="7" xfId="0" applyNumberFormat="1" applyFont="1" applyBorder="1" applyAlignment="1">
      <alignment vertical="center"/>
    </xf>
    <xf numFmtId="0" fontId="8" fillId="0" borderId="41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right" vertical="center" wrapText="1"/>
    </xf>
    <xf numFmtId="0" fontId="7" fillId="0" borderId="3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3" fontId="7" fillId="0" borderId="31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1" xfId="0" applyNumberFormat="1" applyFont="1" applyBorder="1" applyAlignment="1">
      <alignment horizontal="right" vertical="center" wrapText="1"/>
    </xf>
    <xf numFmtId="0" fontId="1" fillId="0" borderId="22" xfId="0" applyFont="1" applyBorder="1"/>
    <xf numFmtId="0" fontId="5" fillId="2" borderId="28" xfId="0" applyFont="1" applyFill="1" applyBorder="1" applyAlignment="1">
      <alignment horizontal="center" vertical="center"/>
    </xf>
    <xf numFmtId="0" fontId="1" fillId="0" borderId="0" xfId="0" applyFont="1"/>
    <xf numFmtId="0" fontId="7" fillId="0" borderId="36" xfId="0" applyFont="1" applyBorder="1" applyAlignment="1">
      <alignment vertical="center"/>
    </xf>
    <xf numFmtId="0" fontId="22" fillId="0" borderId="0" xfId="0" applyFont="1"/>
    <xf numFmtId="3" fontId="7" fillId="0" borderId="12" xfId="0" applyNumberFormat="1" applyFont="1" applyBorder="1" applyAlignment="1">
      <alignment horizontal="right" vertical="center"/>
    </xf>
    <xf numFmtId="0" fontId="1" fillId="0" borderId="4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9" fillId="0" borderId="0" xfId="0" applyFont="1" applyAlignment="1">
      <alignment vertical="center"/>
    </xf>
    <xf numFmtId="0" fontId="5" fillId="2" borderId="28" xfId="0" applyFont="1" applyFill="1" applyBorder="1" applyAlignment="1">
      <alignment vertical="center" wrapText="1"/>
    </xf>
    <xf numFmtId="3" fontId="1" fillId="0" borderId="38" xfId="0" applyNumberFormat="1" applyFont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" fontId="9" fillId="0" borderId="0" xfId="0" applyNumberFormat="1" applyFont="1"/>
    <xf numFmtId="3" fontId="7" fillId="0" borderId="27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44" xfId="0" applyFont="1" applyBorder="1" applyAlignment="1">
      <alignment vertical="center" wrapText="1"/>
    </xf>
    <xf numFmtId="3" fontId="7" fillId="0" borderId="44" xfId="0" applyNumberFormat="1" applyFont="1" applyBorder="1" applyAlignment="1">
      <alignment horizontal="right" vertical="center" wrapText="1"/>
    </xf>
    <xf numFmtId="0" fontId="21" fillId="0" borderId="14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7" xfId="0" applyNumberFormat="1" applyFont="1" applyBorder="1" applyAlignment="1">
      <alignment vertical="center"/>
    </xf>
    <xf numFmtId="0" fontId="17" fillId="0" borderId="26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5" xfId="0" applyFont="1" applyBorder="1" applyAlignment="1">
      <alignment vertical="center"/>
    </xf>
    <xf numFmtId="3" fontId="17" fillId="0" borderId="27" xfId="0" applyNumberFormat="1" applyFont="1" applyBorder="1" applyAlignment="1">
      <alignment horizontal="right" vertical="center" wrapText="1"/>
    </xf>
    <xf numFmtId="3" fontId="23" fillId="0" borderId="18" xfId="0" applyNumberFormat="1" applyFont="1" applyBorder="1" applyAlignment="1">
      <alignment horizontal="right" vertical="center" wrapText="1"/>
    </xf>
    <xf numFmtId="3" fontId="5" fillId="2" borderId="8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vertical="center"/>
    </xf>
    <xf numFmtId="3" fontId="5" fillId="2" borderId="8" xfId="0" applyNumberFormat="1" applyFont="1" applyFill="1" applyBorder="1" applyAlignment="1">
      <alignment vertical="center" wrapText="1"/>
    </xf>
    <xf numFmtId="3" fontId="9" fillId="0" borderId="3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7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7" fillId="0" borderId="37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/>
    </xf>
    <xf numFmtId="1" fontId="13" fillId="0" borderId="35" xfId="0" applyNumberFormat="1" applyFont="1" applyBorder="1" applyAlignment="1">
      <alignment horizontal="right" vertical="top"/>
    </xf>
    <xf numFmtId="1" fontId="12" fillId="0" borderId="37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1" fillId="0" borderId="3" xfId="0" applyFont="1" applyBorder="1"/>
    <xf numFmtId="3" fontId="11" fillId="0" borderId="0" xfId="0" applyNumberFormat="1" applyFont="1" applyAlignment="1">
      <alignment horizontal="left" wrapText="1"/>
    </xf>
    <xf numFmtId="1" fontId="17" fillId="0" borderId="0" xfId="0" applyNumberFormat="1" applyFont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5" fillId="2" borderId="46" xfId="0" applyFont="1" applyFill="1" applyBorder="1" applyAlignment="1">
      <alignment horizontal="center" vertical="center"/>
    </xf>
    <xf numFmtId="0" fontId="27" fillId="0" borderId="0" xfId="0" applyFont="1"/>
    <xf numFmtId="0" fontId="28" fillId="0" borderId="6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3" fontId="1" fillId="0" borderId="47" xfId="0" applyNumberFormat="1" applyFont="1" applyBorder="1" applyAlignment="1">
      <alignment horizontal="right" vertical="center" wrapText="1"/>
    </xf>
    <xf numFmtId="3" fontId="7" fillId="0" borderId="44" xfId="0" applyNumberFormat="1" applyFont="1" applyBorder="1" applyAlignment="1">
      <alignment horizontal="right" vertical="center"/>
    </xf>
    <xf numFmtId="3" fontId="17" fillId="0" borderId="47" xfId="0" applyNumberFormat="1" applyFont="1" applyBorder="1" applyAlignment="1">
      <alignment horizontal="right" vertical="center" wrapText="1"/>
    </xf>
    <xf numFmtId="3" fontId="29" fillId="0" borderId="0" xfId="0" applyNumberFormat="1" applyFont="1"/>
    <xf numFmtId="3" fontId="1" fillId="0" borderId="19" xfId="0" applyNumberFormat="1" applyFont="1" applyBorder="1"/>
    <xf numFmtId="0" fontId="28" fillId="0" borderId="0" xfId="0" applyFont="1" applyAlignment="1">
      <alignment vertical="center"/>
    </xf>
    <xf numFmtId="0" fontId="3" fillId="3" borderId="46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/>
    </xf>
    <xf numFmtId="1" fontId="7" fillId="0" borderId="8" xfId="0" applyNumberFormat="1" applyFont="1" applyBorder="1" applyAlignment="1">
      <alignment horizontal="right" vertical="center"/>
    </xf>
    <xf numFmtId="3" fontId="12" fillId="0" borderId="8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3" fontId="5" fillId="3" borderId="8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top" wrapText="1"/>
    </xf>
    <xf numFmtId="164" fontId="1" fillId="0" borderId="35" xfId="0" applyNumberFormat="1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0" fontId="27" fillId="0" borderId="0" xfId="0" applyFont="1" applyAlignment="1">
      <alignment vertical="center"/>
    </xf>
    <xf numFmtId="164" fontId="1" fillId="0" borderId="25" xfId="0" applyNumberFormat="1" applyFont="1" applyBorder="1" applyAlignment="1">
      <alignment horizontal="right" vertical="center"/>
    </xf>
    <xf numFmtId="164" fontId="1" fillId="0" borderId="19" xfId="0" applyNumberFormat="1" applyFont="1" applyBorder="1" applyAlignment="1">
      <alignment horizontal="right" vertical="center"/>
    </xf>
    <xf numFmtId="0" fontId="12" fillId="0" borderId="44" xfId="0" applyFont="1" applyBorder="1" applyAlignment="1">
      <alignment horizontal="left" vertical="center"/>
    </xf>
    <xf numFmtId="1" fontId="7" fillId="0" borderId="44" xfId="0" applyNumberFormat="1" applyFont="1" applyBorder="1" applyAlignment="1">
      <alignment horizontal="right" vertical="center"/>
    </xf>
    <xf numFmtId="3" fontId="12" fillId="0" borderId="44" xfId="0" applyNumberFormat="1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3" fontId="7" fillId="0" borderId="26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vertical="center"/>
    </xf>
    <xf numFmtId="9" fontId="1" fillId="0" borderId="22" xfId="0" applyNumberFormat="1" applyFont="1" applyBorder="1"/>
    <xf numFmtId="0" fontId="18" fillId="0" borderId="3" xfId="0" applyFont="1" applyBorder="1" applyAlignment="1">
      <alignment vertical="center"/>
    </xf>
    <xf numFmtId="0" fontId="11" fillId="0" borderId="32" xfId="0" applyFont="1" applyBorder="1" applyAlignment="1">
      <alignment vertical="top" wrapText="1"/>
    </xf>
    <xf numFmtId="3" fontId="1" fillId="0" borderId="25" xfId="0" applyNumberFormat="1" applyFont="1" applyBorder="1" applyAlignment="1">
      <alignment horizontal="right" vertical="center"/>
    </xf>
    <xf numFmtId="0" fontId="1" fillId="0" borderId="25" xfId="0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/>
    </xf>
    <xf numFmtId="3" fontId="7" fillId="0" borderId="37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3" fillId="3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3" fontId="11" fillId="0" borderId="0" xfId="0" applyNumberFormat="1" applyFont="1" applyAlignment="1">
      <alignment vertical="center"/>
    </xf>
    <xf numFmtId="3" fontId="32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0" fontId="8" fillId="0" borderId="51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vertical="center"/>
    </xf>
    <xf numFmtId="0" fontId="8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9" fillId="0" borderId="10" xfId="0" applyFont="1" applyBorder="1" applyAlignment="1">
      <alignment vertical="center" wrapText="1"/>
    </xf>
    <xf numFmtId="0" fontId="8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3" fillId="0" borderId="14" xfId="0" applyFont="1" applyBorder="1" applyAlignment="1">
      <alignment horizontal="center" vertical="center"/>
    </xf>
    <xf numFmtId="0" fontId="1" fillId="0" borderId="42" xfId="0" applyFont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3" fontId="1" fillId="0" borderId="7" xfId="0" applyNumberFormat="1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7" fillId="0" borderId="20" xfId="0" applyNumberFormat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3" fontId="7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1" fillId="0" borderId="38" xfId="0" applyFont="1" applyBorder="1" applyAlignment="1">
      <alignment horizontal="left" vertical="center" wrapText="1"/>
    </xf>
    <xf numFmtId="0" fontId="1" fillId="0" borderId="26" xfId="0" applyFont="1" applyBorder="1" applyAlignment="1">
      <alignment vertical="center"/>
    </xf>
    <xf numFmtId="3" fontId="1" fillId="0" borderId="47" xfId="0" applyNumberFormat="1" applyFont="1" applyBorder="1" applyAlignment="1">
      <alignment vertical="center"/>
    </xf>
    <xf numFmtId="0" fontId="5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7" fillId="0" borderId="31" xfId="0" applyNumberFormat="1" applyFont="1" applyBorder="1" applyAlignment="1">
      <alignment vertical="center"/>
    </xf>
    <xf numFmtId="0" fontId="9" fillId="0" borderId="38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3" fontId="1" fillId="0" borderId="46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11" fillId="0" borderId="38" xfId="0" applyFont="1" applyBorder="1" applyAlignment="1">
      <alignment vertical="center" wrapText="1"/>
    </xf>
    <xf numFmtId="0" fontId="1" fillId="0" borderId="27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7" xfId="0" applyNumberFormat="1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3" xfId="0" applyNumberFormat="1" applyFont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3" borderId="8" xfId="0" applyFont="1" applyFill="1" applyBorder="1" applyAlignment="1">
      <alignment horizontal="left" vertical="center" wrapText="1"/>
    </xf>
    <xf numFmtId="3" fontId="5" fillId="3" borderId="31" xfId="0" applyNumberFormat="1" applyFont="1" applyFill="1" applyBorder="1" applyAlignment="1">
      <alignment vertical="center" wrapText="1"/>
    </xf>
    <xf numFmtId="3" fontId="3" fillId="3" borderId="8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3" fontId="34" fillId="0" borderId="0" xfId="0" applyNumberFormat="1" applyFont="1" applyAlignment="1">
      <alignment horizontal="right" vertical="center" wrapText="1"/>
    </xf>
    <xf numFmtId="0" fontId="8" fillId="0" borderId="0" xfId="0" applyFont="1"/>
    <xf numFmtId="0" fontId="11" fillId="0" borderId="7" xfId="0" applyFont="1" applyBorder="1" applyAlignment="1">
      <alignment horizontal="left" vertical="center" wrapText="1"/>
    </xf>
    <xf numFmtId="3" fontId="3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3" fontId="11" fillId="0" borderId="0" xfId="0" applyNumberFormat="1" applyFont="1" applyAlignment="1">
      <alignment horizontal="left" wrapText="1"/>
    </xf>
    <xf numFmtId="0" fontId="11" fillId="0" borderId="32" xfId="0" applyFont="1" applyBorder="1" applyAlignment="1">
      <alignment horizontal="left" vertical="top"/>
    </xf>
    <xf numFmtId="0" fontId="21" fillId="0" borderId="3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5" fillId="2" borderId="2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30" fillId="0" borderId="48" xfId="0" applyFont="1" applyBorder="1" applyAlignment="1">
      <alignment horizontal="center" vertical="center"/>
    </xf>
    <xf numFmtId="0" fontId="30" fillId="0" borderId="49" xfId="0" applyFont="1" applyBorder="1" applyAlignment="1">
      <alignment horizontal="center" vertical="center"/>
    </xf>
    <xf numFmtId="0" fontId="30" fillId="0" borderId="5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513"/>
  <sheetViews>
    <sheetView showGridLines="0" tabSelected="1" showRuler="0" topLeftCell="A127" zoomScale="92" zoomScaleNormal="145" zoomScaleSheetLayoutView="100" zoomScalePageLayoutView="85" workbookViewId="0">
      <selection activeCell="G142" sqref="G142"/>
    </sheetView>
  </sheetViews>
  <sheetFormatPr baseColWidth="10" defaultRowHeight="15.5" x14ac:dyDescent="0.35"/>
  <cols>
    <col min="1" max="1" width="2.25" customWidth="1"/>
    <col min="2" max="2" width="2.58203125" customWidth="1"/>
    <col min="3" max="3" width="29.75" customWidth="1"/>
    <col min="4" max="4" width="15.33203125" customWidth="1"/>
    <col min="5" max="5" width="15.08203125" customWidth="1"/>
    <col min="6" max="6" width="13.75" customWidth="1"/>
    <col min="7" max="7" width="17.83203125" customWidth="1"/>
    <col min="8" max="8" width="16.25" customWidth="1"/>
    <col min="9" max="9" width="16.83203125" customWidth="1"/>
    <col min="10" max="10" width="17.58203125" customWidth="1"/>
  </cols>
  <sheetData>
    <row r="1" spans="1:10" ht="8.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35">
      <c r="A2" s="1"/>
      <c r="B2" s="331" t="s">
        <v>139</v>
      </c>
      <c r="C2" s="332"/>
      <c r="D2" s="332"/>
      <c r="E2" s="332"/>
      <c r="F2" s="332"/>
      <c r="G2" s="332"/>
      <c r="H2" s="332"/>
      <c r="I2" s="332"/>
      <c r="J2" s="333"/>
    </row>
    <row r="3" spans="1:10" ht="14.9" customHeight="1" x14ac:dyDescent="0.35">
      <c r="A3" s="1"/>
      <c r="B3" s="1"/>
      <c r="C3" s="1" t="s">
        <v>108</v>
      </c>
      <c r="D3" s="1"/>
      <c r="E3" s="1"/>
      <c r="F3" s="1"/>
      <c r="G3" s="1"/>
      <c r="H3" s="1"/>
      <c r="I3" s="1"/>
      <c r="J3" s="1"/>
    </row>
    <row r="4" spans="1:10" ht="14.9" customHeight="1" x14ac:dyDescent="0.35">
      <c r="A4" s="1"/>
      <c r="B4" s="1"/>
      <c r="C4" s="1" t="s">
        <v>108</v>
      </c>
      <c r="D4" s="1"/>
      <c r="E4" s="1"/>
      <c r="F4" s="1"/>
      <c r="G4" s="1"/>
      <c r="H4" s="1"/>
      <c r="I4" s="1"/>
      <c r="J4" s="1"/>
    </row>
    <row r="5" spans="1:10" ht="14.9" customHeight="1" x14ac:dyDescent="0.35">
      <c r="A5" s="1"/>
      <c r="B5" s="1"/>
      <c r="C5" s="1" t="s">
        <v>108</v>
      </c>
      <c r="D5" s="1"/>
      <c r="E5" s="1"/>
      <c r="F5" s="1"/>
      <c r="G5" s="1"/>
      <c r="H5" s="1"/>
      <c r="I5" s="1"/>
      <c r="J5" s="1"/>
    </row>
    <row r="6" spans="1:10" ht="14.9" customHeight="1" x14ac:dyDescent="0.35">
      <c r="A6" s="1"/>
      <c r="B6" s="1"/>
      <c r="C6" s="1" t="s">
        <v>108</v>
      </c>
      <c r="D6" s="1"/>
      <c r="E6" s="1"/>
      <c r="F6" s="1"/>
      <c r="G6" s="1"/>
      <c r="H6" s="1"/>
      <c r="I6" s="1"/>
      <c r="J6" s="1"/>
    </row>
    <row r="7" spans="1:10" ht="14.15" customHeight="1" x14ac:dyDescent="0.35">
      <c r="A7" s="1"/>
      <c r="B7" s="1" t="s">
        <v>108</v>
      </c>
      <c r="C7" s="1"/>
      <c r="D7" s="1"/>
      <c r="E7" s="1"/>
      <c r="F7" s="1"/>
      <c r="G7" s="1"/>
      <c r="H7" s="1"/>
      <c r="I7" s="1"/>
      <c r="J7" s="1"/>
    </row>
    <row r="8" spans="1:10" ht="17.149999999999999" customHeight="1" x14ac:dyDescent="0.35">
      <c r="A8" s="2"/>
      <c r="B8" s="2"/>
      <c r="C8" s="233" t="s">
        <v>0</v>
      </c>
      <c r="D8" s="2"/>
      <c r="E8" s="2"/>
      <c r="F8" s="2"/>
      <c r="G8" s="2"/>
      <c r="H8" s="2"/>
      <c r="I8" s="2"/>
      <c r="J8" s="2"/>
    </row>
    <row r="9" spans="1:10" ht="17.149999999999999" customHeight="1" x14ac:dyDescent="0.35">
      <c r="A9" s="2"/>
      <c r="B9" s="334"/>
      <c r="C9" s="335"/>
      <c r="D9" s="335"/>
      <c r="E9" s="335"/>
      <c r="F9" s="335"/>
      <c r="G9" s="335"/>
      <c r="H9" s="335"/>
      <c r="I9" s="335"/>
      <c r="J9" s="336"/>
    </row>
    <row r="10" spans="1:10" ht="12" customHeight="1" x14ac:dyDescent="0.35">
      <c r="A10" s="1"/>
      <c r="B10" s="281"/>
      <c r="C10" s="1"/>
      <c r="D10" s="1"/>
      <c r="E10" s="1"/>
      <c r="F10" s="1"/>
      <c r="G10" s="1"/>
      <c r="H10" s="1"/>
      <c r="I10" s="1"/>
      <c r="J10" s="117"/>
    </row>
    <row r="11" spans="1:10" ht="14.15" customHeight="1" x14ac:dyDescent="0.35">
      <c r="A11" s="152"/>
      <c r="B11" s="50"/>
      <c r="C11" s="328" t="s">
        <v>1</v>
      </c>
      <c r="D11" s="329"/>
      <c r="E11" s="328" t="s">
        <v>2</v>
      </c>
      <c r="F11" s="329"/>
      <c r="G11" s="328" t="s">
        <v>3</v>
      </c>
      <c r="H11" s="329"/>
      <c r="I11" s="173"/>
      <c r="J11" s="271"/>
    </row>
    <row r="12" spans="1:10" ht="14.15" customHeight="1" x14ac:dyDescent="0.35">
      <c r="A12" s="1"/>
      <c r="B12" s="281"/>
      <c r="C12" s="96"/>
      <c r="D12" s="96"/>
      <c r="E12" s="96" t="s">
        <v>4</v>
      </c>
      <c r="F12" s="109">
        <v>32535</v>
      </c>
      <c r="G12" s="110" t="s">
        <v>5</v>
      </c>
      <c r="H12" s="109">
        <v>10717</v>
      </c>
      <c r="I12" s="173"/>
      <c r="J12" s="271"/>
    </row>
    <row r="13" spans="1:10" ht="15.75" customHeight="1" x14ac:dyDescent="0.35">
      <c r="A13" s="1"/>
      <c r="B13" s="281"/>
      <c r="C13" s="110" t="s">
        <v>79</v>
      </c>
      <c r="D13" s="114">
        <v>139827</v>
      </c>
      <c r="E13" s="110" t="s">
        <v>7</v>
      </c>
      <c r="F13" s="114">
        <v>92919</v>
      </c>
      <c r="G13" s="110" t="s">
        <v>8</v>
      </c>
      <c r="H13" s="114">
        <v>65860</v>
      </c>
      <c r="I13" s="173"/>
      <c r="J13" s="271"/>
    </row>
    <row r="14" spans="1:10" ht="14.25" customHeight="1" x14ac:dyDescent="0.35">
      <c r="A14" s="1"/>
      <c r="B14" s="281"/>
      <c r="C14" s="110" t="s">
        <v>9</v>
      </c>
      <c r="D14" s="114">
        <v>127827</v>
      </c>
      <c r="E14" s="110" t="s">
        <v>10</v>
      </c>
      <c r="F14" s="114">
        <v>14373</v>
      </c>
      <c r="G14" s="110" t="s">
        <v>11</v>
      </c>
      <c r="H14" s="114">
        <v>8392</v>
      </c>
      <c r="I14" s="173"/>
      <c r="J14" s="271"/>
    </row>
    <row r="15" spans="1:10" ht="15.75" customHeight="1" x14ac:dyDescent="0.35">
      <c r="A15" s="1"/>
      <c r="B15" s="281"/>
      <c r="C15" s="110" t="s">
        <v>69</v>
      </c>
      <c r="D15" s="114">
        <v>38346</v>
      </c>
      <c r="E15" s="161"/>
      <c r="F15" s="215"/>
      <c r="G15" s="161" t="s">
        <v>12</v>
      </c>
      <c r="H15" s="215">
        <v>7950</v>
      </c>
      <c r="I15" s="173"/>
      <c r="J15" s="271"/>
    </row>
    <row r="16" spans="1:10" ht="14.15" customHeight="1" x14ac:dyDescent="0.35">
      <c r="A16" s="1"/>
      <c r="B16" s="281"/>
      <c r="C16" s="172" t="s">
        <v>13</v>
      </c>
      <c r="D16" s="184">
        <f>SUM(D13:D15)</f>
        <v>306000</v>
      </c>
      <c r="E16" s="172" t="s">
        <v>14</v>
      </c>
      <c r="F16" s="184">
        <f>SUM(F12:F15)</f>
        <v>139827</v>
      </c>
      <c r="G16" s="172" t="s">
        <v>7</v>
      </c>
      <c r="H16" s="184">
        <f>SUM(H12:H15)</f>
        <v>92919</v>
      </c>
      <c r="J16" s="271"/>
    </row>
    <row r="17" spans="1:10" x14ac:dyDescent="0.35">
      <c r="A17" s="101"/>
      <c r="B17" s="24"/>
      <c r="C17" s="321"/>
      <c r="D17" s="321"/>
      <c r="E17" s="321"/>
      <c r="F17" s="321"/>
      <c r="G17" s="321"/>
      <c r="H17" s="321"/>
      <c r="I17" s="101"/>
      <c r="J17" s="157"/>
    </row>
    <row r="18" spans="1:10" ht="15" customHeight="1" x14ac:dyDescent="0.35">
      <c r="A18" s="1"/>
      <c r="B18" s="281"/>
      <c r="C18" s="216"/>
      <c r="D18" s="216"/>
      <c r="E18" s="217"/>
      <c r="F18" s="216"/>
      <c r="G18" s="216"/>
      <c r="H18" s="216"/>
      <c r="I18" s="216"/>
      <c r="J18" s="316"/>
    </row>
    <row r="19" spans="1:10" ht="15" customHeight="1" x14ac:dyDescent="0.35">
      <c r="A19" s="1"/>
      <c r="B19" s="281"/>
      <c r="C19" s="17" t="s">
        <v>15</v>
      </c>
      <c r="D19" s="216"/>
      <c r="E19" s="217"/>
      <c r="F19" s="216"/>
      <c r="G19" s="216"/>
      <c r="H19" s="196"/>
      <c r="I19" s="216"/>
      <c r="J19" s="316"/>
    </row>
    <row r="20" spans="1:10" ht="12" customHeight="1" x14ac:dyDescent="0.35">
      <c r="A20" s="1"/>
      <c r="B20" s="281"/>
      <c r="C20" s="30"/>
      <c r="D20" s="1"/>
      <c r="E20" s="1"/>
      <c r="F20" s="1"/>
      <c r="G20" s="1"/>
      <c r="H20" s="1"/>
      <c r="I20" s="1"/>
      <c r="J20" s="117"/>
    </row>
    <row r="21" spans="1:10" ht="61.5" customHeight="1" x14ac:dyDescent="0.35">
      <c r="A21" s="152"/>
      <c r="B21" s="50"/>
      <c r="C21" s="14" t="s">
        <v>16</v>
      </c>
      <c r="D21" s="113" t="s">
        <v>17</v>
      </c>
      <c r="E21" s="68" t="s">
        <v>18</v>
      </c>
      <c r="F21" s="68" t="s">
        <v>161</v>
      </c>
      <c r="G21" s="68" t="s">
        <v>162</v>
      </c>
      <c r="H21" s="68" t="s">
        <v>163</v>
      </c>
      <c r="I21" s="68" t="s">
        <v>164</v>
      </c>
      <c r="J21" s="305"/>
    </row>
    <row r="22" spans="1:10" ht="14.15" customHeight="1" x14ac:dyDescent="0.35">
      <c r="A22" s="1"/>
      <c r="B22" s="281"/>
      <c r="C22" s="15" t="s">
        <v>19</v>
      </c>
      <c r="D22" s="27">
        <f>D23+D24</f>
        <v>32535</v>
      </c>
      <c r="E22" s="27">
        <f>E23+E24</f>
        <v>33432</v>
      </c>
      <c r="F22" s="27">
        <f t="shared" ref="F22:I22" si="0">F24+F23</f>
        <v>505.99709999999999</v>
      </c>
      <c r="G22" s="27">
        <f t="shared" si="0"/>
        <v>12847.529640000001</v>
      </c>
      <c r="H22" s="10">
        <f>H24+H23</f>
        <v>20584.470359999999</v>
      </c>
      <c r="I22" s="10">
        <f t="shared" si="0"/>
        <v>18185.312619999997</v>
      </c>
      <c r="J22" s="271"/>
    </row>
    <row r="23" spans="1:10" ht="14.15" customHeight="1" x14ac:dyDescent="0.35">
      <c r="A23" s="1"/>
      <c r="B23" s="281"/>
      <c r="C23" s="43" t="s">
        <v>20</v>
      </c>
      <c r="D23" s="44">
        <v>31785</v>
      </c>
      <c r="E23" s="44">
        <v>32689</v>
      </c>
      <c r="F23" s="22">
        <f>505.9971</f>
        <v>505.99709999999999</v>
      </c>
      <c r="G23" s="22">
        <f>12449.93214</f>
        <v>12449.932140000001</v>
      </c>
      <c r="H23" s="22">
        <f>E23-G23</f>
        <v>20239.067859999999</v>
      </c>
      <c r="I23" s="22">
        <f>17888.33662</f>
        <v>17888.336619999998</v>
      </c>
      <c r="J23" s="271"/>
    </row>
    <row r="24" spans="1:10" ht="14.15" customHeight="1" x14ac:dyDescent="0.35">
      <c r="A24" s="1"/>
      <c r="B24" s="281"/>
      <c r="C24" s="47" t="s">
        <v>21</v>
      </c>
      <c r="D24" s="218">
        <v>750</v>
      </c>
      <c r="E24" s="218">
        <v>743</v>
      </c>
      <c r="F24" s="165">
        <f>0</f>
        <v>0</v>
      </c>
      <c r="G24" s="22">
        <f>397.5975</f>
        <v>397.59750000000003</v>
      </c>
      <c r="H24" s="22">
        <f>E24-G24</f>
        <v>345.40249999999997</v>
      </c>
      <c r="I24" s="22">
        <f>296.976</f>
        <v>296.976</v>
      </c>
      <c r="J24" s="271"/>
    </row>
    <row r="25" spans="1:10" ht="14.15" customHeight="1" x14ac:dyDescent="0.35">
      <c r="A25" s="1"/>
      <c r="B25" s="281"/>
      <c r="C25" s="15" t="s">
        <v>22</v>
      </c>
      <c r="D25" s="27">
        <f>D26+D32+D33</f>
        <v>95462</v>
      </c>
      <c r="E25" s="27">
        <f>E26+E32+E33</f>
        <v>98042</v>
      </c>
      <c r="F25" s="27">
        <f t="shared" ref="F25:I25" si="1">F33+F32+F26</f>
        <v>674.65843999999993</v>
      </c>
      <c r="G25" s="10">
        <f t="shared" si="1"/>
        <v>76521.446749999901</v>
      </c>
      <c r="H25" s="10">
        <f>H33+H32+H26</f>
        <v>21520.553250000099</v>
      </c>
      <c r="I25" s="10">
        <f t="shared" si="1"/>
        <v>92056.746039999998</v>
      </c>
      <c r="J25" s="271"/>
    </row>
    <row r="26" spans="1:10" ht="15" customHeight="1" x14ac:dyDescent="0.35">
      <c r="A26" s="49"/>
      <c r="B26" s="51"/>
      <c r="C26" s="54" t="s">
        <v>23</v>
      </c>
      <c r="D26" s="55">
        <f>D27+D28+D29+D30+D31</f>
        <v>75488</v>
      </c>
      <c r="E26" s="55">
        <f>E27+E28+E29+E30+E31</f>
        <v>77858</v>
      </c>
      <c r="F26" s="129">
        <f>F27+F28+F29+F30+F31</f>
        <v>408.72474</v>
      </c>
      <c r="G26" s="129">
        <f>G27+G28+G29+G30+G31</f>
        <v>63138.664649999999</v>
      </c>
      <c r="H26" s="129">
        <f>H27+H28+H29+H30+H31</f>
        <v>14719.335350000001</v>
      </c>
      <c r="I26" s="129">
        <f t="shared" ref="I26" si="2">I27+I28+I29+I30+I31</f>
        <v>75471.743470000001</v>
      </c>
      <c r="J26" s="271"/>
    </row>
    <row r="27" spans="1:10" ht="14.15" customHeight="1" x14ac:dyDescent="0.35">
      <c r="A27" s="192"/>
      <c r="B27" s="176"/>
      <c r="C27" s="60" t="s">
        <v>24</v>
      </c>
      <c r="D27" s="61">
        <v>19164</v>
      </c>
      <c r="E27" s="61">
        <v>20868</v>
      </c>
      <c r="F27" s="209">
        <f>117.07757 - F53</f>
        <v>117.07756999999999</v>
      </c>
      <c r="G27" s="123">
        <f>18753.78831 - G53</f>
        <v>18753.78831</v>
      </c>
      <c r="H27" s="123">
        <f t="shared" ref="H27:H41" si="3">E27-G27</f>
        <v>2114.2116900000001</v>
      </c>
      <c r="I27" s="123">
        <f>21578.80136 - I53</f>
        <v>21578.801360000001</v>
      </c>
      <c r="J27" s="63"/>
    </row>
    <row r="28" spans="1:10" ht="14.15" customHeight="1" x14ac:dyDescent="0.35">
      <c r="A28" s="192"/>
      <c r="B28" s="176"/>
      <c r="C28" s="60" t="s">
        <v>25</v>
      </c>
      <c r="D28" s="61">
        <v>19036</v>
      </c>
      <c r="E28" s="61">
        <v>19720</v>
      </c>
      <c r="F28" s="123">
        <f>138.50793 - F54</f>
        <v>138.50792999999999</v>
      </c>
      <c r="G28" s="123">
        <f>18103.87866 - G54</f>
        <v>18103.878659999998</v>
      </c>
      <c r="H28" s="123">
        <f t="shared" si="3"/>
        <v>1616.1213400000015</v>
      </c>
      <c r="I28" s="123">
        <f>21221.81098 - I54</f>
        <v>21221.810979999998</v>
      </c>
      <c r="J28" s="63"/>
    </row>
    <row r="29" spans="1:10" ht="14.15" customHeight="1" x14ac:dyDescent="0.35">
      <c r="A29" s="192"/>
      <c r="B29" s="176"/>
      <c r="C29" s="60" t="s">
        <v>26</v>
      </c>
      <c r="D29" s="61">
        <v>17407</v>
      </c>
      <c r="E29" s="61">
        <v>17625</v>
      </c>
      <c r="F29" s="123">
        <f>89.55414 - F55</f>
        <v>89.554140000000004</v>
      </c>
      <c r="G29" s="123">
        <f>14947.52895 - G55</f>
        <v>14947.52895</v>
      </c>
      <c r="H29" s="123">
        <f t="shared" si="3"/>
        <v>2677.4710500000001</v>
      </c>
      <c r="I29" s="123">
        <f>19312.58904 - I55</f>
        <v>19312.589039999999</v>
      </c>
      <c r="J29" s="63"/>
    </row>
    <row r="30" spans="1:10" ht="14.15" customHeight="1" x14ac:dyDescent="0.35">
      <c r="A30" s="192"/>
      <c r="B30" s="176"/>
      <c r="C30" s="60" t="s">
        <v>27</v>
      </c>
      <c r="D30" s="61">
        <v>12796</v>
      </c>
      <c r="E30" s="61">
        <v>12954</v>
      </c>
      <c r="F30" s="123">
        <f>63.5851 - F56</f>
        <v>63.585099999999997</v>
      </c>
      <c r="G30" s="123">
        <f>11333.46873 - G56</f>
        <v>11333.468730000001</v>
      </c>
      <c r="H30" s="123">
        <f t="shared" si="3"/>
        <v>1620.5312699999995</v>
      </c>
      <c r="I30" s="123">
        <f>13358.54209 - I56</f>
        <v>13358.542090000001</v>
      </c>
      <c r="J30" s="63"/>
    </row>
    <row r="31" spans="1:10" ht="14.15" customHeight="1" x14ac:dyDescent="0.35">
      <c r="A31" s="192"/>
      <c r="B31" s="176"/>
      <c r="C31" s="60" t="s">
        <v>137</v>
      </c>
      <c r="D31" s="61">
        <v>7085</v>
      </c>
      <c r="E31" s="61">
        <v>6691</v>
      </c>
      <c r="F31" s="123">
        <f>F52</f>
        <v>0</v>
      </c>
      <c r="G31" s="123">
        <f>G52</f>
        <v>0</v>
      </c>
      <c r="H31" s="123">
        <f t="shared" si="3"/>
        <v>6691</v>
      </c>
      <c r="I31" s="123">
        <f>I52</f>
        <v>0</v>
      </c>
      <c r="J31" s="63"/>
    </row>
    <row r="32" spans="1:10" ht="14.15" customHeight="1" x14ac:dyDescent="0.35">
      <c r="A32" s="64"/>
      <c r="B32" s="51"/>
      <c r="C32" s="54" t="s">
        <v>28</v>
      </c>
      <c r="D32" s="55">
        <v>10717</v>
      </c>
      <c r="E32" s="55">
        <v>10907</v>
      </c>
      <c r="F32" s="129">
        <f>155.31416</f>
        <v>155.31415999999999</v>
      </c>
      <c r="G32" s="129">
        <f>4220.56257</f>
        <v>4220.5625700000001</v>
      </c>
      <c r="H32" s="129">
        <f t="shared" si="3"/>
        <v>6686.4374299999999</v>
      </c>
      <c r="I32" s="129">
        <f>6463.5943</f>
        <v>6463.5942999999997</v>
      </c>
      <c r="J32" s="63"/>
    </row>
    <row r="33" spans="1:10" ht="14.15" customHeight="1" x14ac:dyDescent="0.35">
      <c r="A33" s="64"/>
      <c r="B33" s="51"/>
      <c r="C33" s="54" t="s">
        <v>29</v>
      </c>
      <c r="D33" s="55">
        <f>D34+D35</f>
        <v>9257</v>
      </c>
      <c r="E33" s="55">
        <f>E34+E35</f>
        <v>9277</v>
      </c>
      <c r="F33" s="129">
        <f>F34+F35</f>
        <v>110.61954</v>
      </c>
      <c r="G33" s="129">
        <f>G34+G35</f>
        <v>9162.2195299999003</v>
      </c>
      <c r="H33" s="129">
        <f t="shared" si="3"/>
        <v>114.78047000009974</v>
      </c>
      <c r="I33" s="129">
        <f>I34+I35</f>
        <v>10121.40827</v>
      </c>
      <c r="J33" s="63"/>
    </row>
    <row r="34" spans="1:10" ht="14.15" customHeight="1" x14ac:dyDescent="0.35">
      <c r="A34" s="192"/>
      <c r="B34" s="176"/>
      <c r="C34" s="60" t="s">
        <v>30</v>
      </c>
      <c r="D34" s="61">
        <v>8392</v>
      </c>
      <c r="E34" s="61">
        <v>8412</v>
      </c>
      <c r="F34" s="123">
        <f>184.61954 - F57 - F58</f>
        <v>110.61954</v>
      </c>
      <c r="G34" s="129">
        <f>11475.2195299999 - G57 - G58</f>
        <v>9162.2195299999003</v>
      </c>
      <c r="H34" s="123">
        <f t="shared" si="3"/>
        <v>-750.21952999990026</v>
      </c>
      <c r="I34" s="123">
        <f>11668.40827 - I57 - I58</f>
        <v>10121.40827</v>
      </c>
      <c r="J34" s="63"/>
    </row>
    <row r="35" spans="1:10" ht="14.15" customHeight="1" x14ac:dyDescent="0.35">
      <c r="A35" s="192"/>
      <c r="B35" s="176"/>
      <c r="C35" s="66" t="s">
        <v>31</v>
      </c>
      <c r="D35" s="220">
        <v>865</v>
      </c>
      <c r="E35" s="220">
        <v>865</v>
      </c>
      <c r="F35" s="67">
        <f>F57</f>
        <v>0</v>
      </c>
      <c r="G35" s="67">
        <f>G57</f>
        <v>0</v>
      </c>
      <c r="H35" s="67">
        <f t="shared" si="3"/>
        <v>865</v>
      </c>
      <c r="I35" s="67">
        <f>I57</f>
        <v>0</v>
      </c>
      <c r="J35" s="63"/>
    </row>
    <row r="36" spans="1:10" ht="15.75" customHeight="1" x14ac:dyDescent="0.35">
      <c r="A36" s="1"/>
      <c r="B36" s="281"/>
      <c r="C36" s="70" t="s">
        <v>32</v>
      </c>
      <c r="D36" s="140">
        <v>500</v>
      </c>
      <c r="E36" s="140">
        <v>500</v>
      </c>
      <c r="F36" s="136">
        <f>0.49</f>
        <v>0.49</v>
      </c>
      <c r="G36" s="136">
        <f>472.212</f>
        <v>472.21199999999999</v>
      </c>
      <c r="H36" s="136">
        <f t="shared" si="3"/>
        <v>27.788000000000011</v>
      </c>
      <c r="I36" s="136">
        <f>261.3884</f>
        <v>261.38839999999999</v>
      </c>
      <c r="J36" s="271"/>
    </row>
    <row r="37" spans="1:10" ht="14.15" customHeight="1" x14ac:dyDescent="0.35">
      <c r="A37" s="1"/>
      <c r="B37" s="281"/>
      <c r="C37" s="70" t="s">
        <v>33</v>
      </c>
      <c r="D37" s="140">
        <v>880</v>
      </c>
      <c r="E37" s="140">
        <v>880</v>
      </c>
      <c r="F37" s="95">
        <f>2.8365</f>
        <v>2.8365</v>
      </c>
      <c r="G37" s="95">
        <f>523.8606</f>
        <v>523.86059999999998</v>
      </c>
      <c r="H37" s="95">
        <f t="shared" si="3"/>
        <v>356.13940000000002</v>
      </c>
      <c r="I37" s="95">
        <f>538.21717</f>
        <v>538.21717000000001</v>
      </c>
      <c r="J37" s="271"/>
    </row>
    <row r="38" spans="1:10" ht="17.25" customHeight="1" x14ac:dyDescent="0.35">
      <c r="A38" s="1"/>
      <c r="B38" s="281"/>
      <c r="C38" s="70" t="s">
        <v>34</v>
      </c>
      <c r="D38" s="140">
        <v>3000</v>
      </c>
      <c r="E38" s="140">
        <v>3000</v>
      </c>
      <c r="F38" s="95">
        <f>F58</f>
        <v>74</v>
      </c>
      <c r="G38" s="95">
        <f>G58</f>
        <v>2313</v>
      </c>
      <c r="H38" s="95">
        <f t="shared" si="3"/>
        <v>687</v>
      </c>
      <c r="I38" s="95">
        <f>I58</f>
        <v>1547</v>
      </c>
      <c r="J38" s="271"/>
    </row>
    <row r="39" spans="1:10" ht="17.25" customHeight="1" x14ac:dyDescent="0.35">
      <c r="A39" s="1"/>
      <c r="B39" s="281"/>
      <c r="C39" s="70" t="s">
        <v>35</v>
      </c>
      <c r="D39" s="140">
        <v>7000</v>
      </c>
      <c r="E39" s="140">
        <v>7000</v>
      </c>
      <c r="F39" s="95">
        <f>8.9021</f>
        <v>8.9021000000000008</v>
      </c>
      <c r="G39" s="95">
        <f>E39</f>
        <v>7000</v>
      </c>
      <c r="H39" s="95">
        <f t="shared" si="3"/>
        <v>0</v>
      </c>
      <c r="I39" s="95">
        <f>E39</f>
        <v>7000</v>
      </c>
      <c r="J39" s="271"/>
    </row>
    <row r="40" spans="1:10" ht="17.25" customHeight="1" x14ac:dyDescent="0.35">
      <c r="A40" s="1"/>
      <c r="B40" s="281"/>
      <c r="C40" s="70" t="s">
        <v>37</v>
      </c>
      <c r="D40" s="140">
        <v>450</v>
      </c>
      <c r="E40" s="140">
        <v>450</v>
      </c>
      <c r="F40" s="95">
        <f>2.33346</f>
        <v>2.3334600000000001</v>
      </c>
      <c r="G40" s="95">
        <f>381.98329</f>
        <v>381.98329000000001</v>
      </c>
      <c r="H40" s="95">
        <f t="shared" si="3"/>
        <v>68.016709999999989</v>
      </c>
      <c r="I40" s="95">
        <f>348.4368</f>
        <v>348.43680000000001</v>
      </c>
      <c r="J40" s="271"/>
    </row>
    <row r="41" spans="1:10" ht="14.15" customHeight="1" x14ac:dyDescent="0.35">
      <c r="A41" s="1"/>
      <c r="B41" s="281"/>
      <c r="C41" s="70" t="s">
        <v>38</v>
      </c>
      <c r="D41" s="140"/>
      <c r="E41" s="136"/>
      <c r="F41" s="136">
        <f>0</f>
        <v>0</v>
      </c>
      <c r="G41" s="136">
        <f>41.38355</f>
        <v>41.38355</v>
      </c>
      <c r="H41" s="136">
        <f t="shared" si="3"/>
        <v>-41.38355</v>
      </c>
      <c r="I41" s="136">
        <f>53.62168</f>
        <v>53.621679999999998</v>
      </c>
      <c r="J41" s="271"/>
    </row>
    <row r="42" spans="1:10" ht="16.5" customHeight="1" x14ac:dyDescent="0.35">
      <c r="A42" s="1"/>
      <c r="B42" s="281"/>
      <c r="C42" s="71" t="s">
        <v>39</v>
      </c>
      <c r="D42" s="73">
        <f>D22+D25+D36+D37+D38+D39+D40+D41</f>
        <v>139827</v>
      </c>
      <c r="E42" s="73">
        <f>E22+E25+E36+E37+E38+E39+E40+E41</f>
        <v>143304</v>
      </c>
      <c r="F42" s="73">
        <f t="shared" ref="F42:I42" si="4">F22+F25+F36+F37+F38+F39+F40+F41</f>
        <v>1269.2175999999999</v>
      </c>
      <c r="G42" s="73">
        <f t="shared" si="4"/>
        <v>100101.41582999991</v>
      </c>
      <c r="H42" s="73">
        <f>H22+H25+H36+H37+H38+H39+H40+H41</f>
        <v>43202.584170000104</v>
      </c>
      <c r="I42" s="73">
        <f t="shared" si="4"/>
        <v>119990.72270999999</v>
      </c>
      <c r="J42" s="271"/>
    </row>
    <row r="43" spans="1:10" ht="14.15" customHeight="1" x14ac:dyDescent="0.35">
      <c r="A43" s="101"/>
      <c r="B43" s="24"/>
      <c r="C43" s="74" t="s">
        <v>140</v>
      </c>
      <c r="D43" s="216"/>
      <c r="E43" s="216"/>
      <c r="F43" s="76"/>
      <c r="G43" s="76"/>
      <c r="H43" s="255"/>
      <c r="I43" s="255"/>
      <c r="J43" s="77"/>
    </row>
    <row r="44" spans="1:10" ht="14.15" customHeight="1" x14ac:dyDescent="0.35">
      <c r="A44" s="101"/>
      <c r="B44" s="24"/>
      <c r="C44" s="78" t="s">
        <v>136</v>
      </c>
      <c r="D44" s="216"/>
      <c r="E44" s="216"/>
      <c r="F44" s="216"/>
      <c r="G44" s="76"/>
      <c r="H44" s="173"/>
      <c r="I44" s="173"/>
      <c r="J44" s="271"/>
    </row>
    <row r="45" spans="1:10" ht="14.15" customHeight="1" x14ac:dyDescent="0.35">
      <c r="A45" s="101"/>
      <c r="B45" s="24"/>
      <c r="C45" s="156" t="s">
        <v>160</v>
      </c>
      <c r="D45" s="216"/>
      <c r="E45" s="216"/>
      <c r="F45" s="216"/>
      <c r="G45" s="76"/>
      <c r="H45" s="173"/>
      <c r="I45" s="173"/>
      <c r="J45" s="117"/>
    </row>
    <row r="46" spans="1:10" ht="14.15" customHeight="1" x14ac:dyDescent="0.35">
      <c r="A46" s="101"/>
      <c r="B46" s="24"/>
      <c r="C46" s="156" t="s">
        <v>141</v>
      </c>
      <c r="D46" s="216"/>
      <c r="E46" s="216"/>
      <c r="F46" s="216"/>
      <c r="G46" s="216"/>
      <c r="H46" s="173"/>
      <c r="I46" s="173"/>
      <c r="J46" s="117"/>
    </row>
    <row r="47" spans="1:10" ht="14.15" customHeight="1" x14ac:dyDescent="0.35">
      <c r="A47" s="101"/>
      <c r="B47" s="24"/>
      <c r="C47" s="101" t="s">
        <v>40</v>
      </c>
      <c r="D47" s="216"/>
      <c r="E47" s="216"/>
      <c r="F47" s="216"/>
      <c r="G47" s="216"/>
      <c r="H47" s="173"/>
      <c r="I47" s="173"/>
      <c r="J47" s="117"/>
    </row>
    <row r="48" spans="1:10" ht="20.25" customHeight="1" x14ac:dyDescent="0.35">
      <c r="A48" s="101"/>
      <c r="B48" s="268"/>
      <c r="C48" s="298"/>
      <c r="D48" s="298"/>
      <c r="E48" s="106"/>
      <c r="F48" s="298"/>
      <c r="G48" s="298"/>
      <c r="H48" s="298"/>
      <c r="I48" s="298"/>
      <c r="J48" s="178"/>
    </row>
    <row r="49" spans="1:10" ht="33" customHeight="1" x14ac:dyDescent="0.35">
      <c r="A49" s="101"/>
      <c r="B49" s="24"/>
      <c r="C49" s="324" t="s">
        <v>138</v>
      </c>
      <c r="D49" s="324"/>
      <c r="E49" s="324"/>
      <c r="F49" s="324"/>
      <c r="G49" s="324"/>
      <c r="H49" s="324"/>
      <c r="I49" s="80"/>
      <c r="J49" s="81"/>
    </row>
    <row r="50" spans="1:10" ht="16.5" customHeight="1" x14ac:dyDescent="0.35">
      <c r="A50" s="101"/>
      <c r="B50" s="24"/>
      <c r="C50" s="156"/>
      <c r="D50" s="216"/>
      <c r="E50" s="216"/>
      <c r="F50" s="216"/>
      <c r="G50" s="216"/>
      <c r="H50" s="173"/>
      <c r="I50" s="173"/>
      <c r="J50" s="117"/>
    </row>
    <row r="51" spans="1:10" ht="61.5" customHeight="1" x14ac:dyDescent="0.35">
      <c r="A51" s="101"/>
      <c r="B51" s="24"/>
      <c r="C51" s="83" t="s">
        <v>16</v>
      </c>
      <c r="D51" s="68" t="s">
        <v>41</v>
      </c>
      <c r="E51" s="68" t="s">
        <v>117</v>
      </c>
      <c r="F51" s="68" t="s">
        <v>161</v>
      </c>
      <c r="G51" s="68" t="s">
        <v>162</v>
      </c>
      <c r="H51" s="68" t="s">
        <v>163</v>
      </c>
      <c r="I51" s="68" t="s">
        <v>164</v>
      </c>
      <c r="J51" s="271"/>
    </row>
    <row r="52" spans="1:10" ht="14.15" customHeight="1" x14ac:dyDescent="0.35">
      <c r="A52" s="101"/>
      <c r="B52" s="24"/>
      <c r="C52" s="15" t="s">
        <v>42</v>
      </c>
      <c r="D52" s="325">
        <v>7085</v>
      </c>
      <c r="E52" s="325">
        <v>6691</v>
      </c>
      <c r="F52" s="10">
        <f>F56+F55+F54+F53</f>
        <v>0</v>
      </c>
      <c r="G52" s="10">
        <f>G56+G55+G54+G53</f>
        <v>0</v>
      </c>
      <c r="H52" s="325">
        <f>E52-G52</f>
        <v>6691</v>
      </c>
      <c r="I52" s="10">
        <f>I56+I55+I54+I53</f>
        <v>0</v>
      </c>
      <c r="J52" s="117"/>
    </row>
    <row r="53" spans="1:10" ht="14.15" customHeight="1" x14ac:dyDescent="0.35">
      <c r="A53" s="101"/>
      <c r="B53" s="24"/>
      <c r="C53" s="60" t="s">
        <v>24</v>
      </c>
      <c r="D53" s="326"/>
      <c r="E53" s="326"/>
      <c r="F53" s="123"/>
      <c r="G53" s="123"/>
      <c r="H53" s="326"/>
      <c r="I53" s="123"/>
      <c r="J53" s="117"/>
    </row>
    <row r="54" spans="1:10" ht="14.15" customHeight="1" x14ac:dyDescent="0.35">
      <c r="A54" s="101"/>
      <c r="B54" s="24"/>
      <c r="C54" s="60" t="s">
        <v>25</v>
      </c>
      <c r="D54" s="326"/>
      <c r="E54" s="326"/>
      <c r="F54" s="123"/>
      <c r="G54" s="123"/>
      <c r="H54" s="326"/>
      <c r="I54" s="123"/>
      <c r="J54" s="271"/>
    </row>
    <row r="55" spans="1:10" ht="14.15" customHeight="1" x14ac:dyDescent="0.35">
      <c r="A55" s="101"/>
      <c r="B55" s="24"/>
      <c r="C55" s="60" t="s">
        <v>26</v>
      </c>
      <c r="D55" s="326"/>
      <c r="E55" s="326"/>
      <c r="F55" s="123"/>
      <c r="G55" s="123"/>
      <c r="H55" s="326"/>
      <c r="I55" s="123"/>
      <c r="J55" s="117"/>
    </row>
    <row r="56" spans="1:10" ht="14.15" customHeight="1" x14ac:dyDescent="0.35">
      <c r="A56" s="101"/>
      <c r="B56" s="24"/>
      <c r="C56" s="84" t="s">
        <v>27</v>
      </c>
      <c r="D56" s="327"/>
      <c r="E56" s="327"/>
      <c r="F56" s="186"/>
      <c r="G56" s="186"/>
      <c r="H56" s="327"/>
      <c r="I56" s="186"/>
      <c r="J56" s="117"/>
    </row>
    <row r="57" spans="1:10" ht="14.15" customHeight="1" x14ac:dyDescent="0.35">
      <c r="A57" s="101"/>
      <c r="B57" s="24"/>
      <c r="C57" s="85" t="s">
        <v>43</v>
      </c>
      <c r="D57" s="92">
        <v>865</v>
      </c>
      <c r="E57" s="92">
        <v>865</v>
      </c>
      <c r="F57" s="92"/>
      <c r="G57" s="92"/>
      <c r="H57" s="92">
        <f>E57-G57</f>
        <v>865</v>
      </c>
      <c r="I57" s="92"/>
      <c r="J57" s="271"/>
    </row>
    <row r="58" spans="1:10" ht="14.15" customHeight="1" x14ac:dyDescent="0.35">
      <c r="A58" s="101"/>
      <c r="B58" s="24"/>
      <c r="C58" s="139" t="s">
        <v>44</v>
      </c>
      <c r="D58" s="136">
        <v>3000</v>
      </c>
      <c r="E58" s="136">
        <v>3000</v>
      </c>
      <c r="F58" s="136">
        <v>74</v>
      </c>
      <c r="G58" s="136">
        <v>2313</v>
      </c>
      <c r="H58" s="136">
        <f>E58-G58</f>
        <v>687</v>
      </c>
      <c r="I58" s="136">
        <v>1547</v>
      </c>
      <c r="J58" s="117"/>
    </row>
    <row r="59" spans="1:10" ht="14.15" customHeight="1" x14ac:dyDescent="0.35">
      <c r="A59" s="101"/>
      <c r="B59" s="24"/>
      <c r="C59" s="74" t="s">
        <v>142</v>
      </c>
      <c r="D59" s="216"/>
      <c r="E59" s="216"/>
      <c r="F59" s="216"/>
      <c r="G59" s="216"/>
      <c r="H59" s="173"/>
      <c r="I59" s="173"/>
      <c r="J59" s="117"/>
    </row>
    <row r="60" spans="1:10" ht="14.15" customHeight="1" x14ac:dyDescent="0.35">
      <c r="A60" s="101"/>
      <c r="B60" s="24"/>
      <c r="C60" s="156"/>
      <c r="D60" s="216"/>
      <c r="E60" s="216"/>
      <c r="F60" s="216"/>
      <c r="G60" s="216"/>
      <c r="H60" s="173"/>
      <c r="I60" s="173"/>
      <c r="J60" s="117"/>
    </row>
    <row r="61" spans="1:10" ht="15" customHeight="1" x14ac:dyDescent="0.35">
      <c r="A61" s="101"/>
      <c r="B61" s="24"/>
      <c r="C61" s="156"/>
      <c r="D61" s="216"/>
      <c r="E61" s="216"/>
      <c r="F61" s="216"/>
      <c r="G61" s="216"/>
      <c r="H61" s="173"/>
      <c r="I61" s="173"/>
      <c r="J61" s="117"/>
    </row>
    <row r="62" spans="1:10" ht="12" customHeight="1" x14ac:dyDescent="0.35">
      <c r="A62" s="101"/>
      <c r="B62" s="88"/>
      <c r="C62" s="201"/>
      <c r="D62" s="56"/>
      <c r="E62" s="56"/>
      <c r="F62" s="56"/>
      <c r="G62" s="56"/>
      <c r="H62" s="103"/>
      <c r="I62" s="103"/>
      <c r="J62" s="115"/>
    </row>
    <row r="63" spans="1:10" ht="310.5" customHeight="1" x14ac:dyDescent="0.35">
      <c r="A63" s="1"/>
      <c r="B63" s="1"/>
      <c r="D63" s="1"/>
      <c r="E63" s="1"/>
      <c r="F63" s="1"/>
      <c r="G63" s="1"/>
      <c r="H63" s="1"/>
      <c r="I63" s="1"/>
      <c r="J63" s="1"/>
    </row>
    <row r="64" spans="1:10" x14ac:dyDescent="0.35">
      <c r="B64" s="1"/>
      <c r="C64" s="313"/>
      <c r="D64" s="116"/>
      <c r="E64" s="116"/>
      <c r="F64" s="116"/>
      <c r="G64" s="116"/>
      <c r="H64" s="1"/>
      <c r="I64" s="1"/>
      <c r="J64" s="1"/>
    </row>
    <row r="65" spans="1:10" ht="17.149999999999999" customHeight="1" x14ac:dyDescent="0.35">
      <c r="B65" s="2"/>
      <c r="C65" s="233" t="s">
        <v>45</v>
      </c>
      <c r="D65" s="2"/>
      <c r="E65" s="2"/>
      <c r="F65" s="2"/>
      <c r="G65" s="2"/>
      <c r="H65" s="2"/>
      <c r="I65" s="2"/>
      <c r="J65" s="2"/>
    </row>
    <row r="66" spans="1:10" ht="3" customHeight="1" x14ac:dyDescent="0.35">
      <c r="B66" s="2"/>
      <c r="C66" s="233"/>
      <c r="D66" s="2"/>
      <c r="E66" s="2"/>
      <c r="F66" s="2"/>
      <c r="G66" s="2"/>
      <c r="H66" s="2"/>
      <c r="I66" s="2"/>
      <c r="J66" s="2"/>
    </row>
    <row r="67" spans="1:10" ht="14.15" customHeight="1" x14ac:dyDescent="0.35">
      <c r="B67" s="134"/>
      <c r="C67" s="150"/>
      <c r="D67" s="150"/>
      <c r="E67" s="150"/>
      <c r="F67" s="150"/>
      <c r="G67" s="150"/>
      <c r="H67" s="150"/>
      <c r="I67" s="150"/>
      <c r="J67" s="158"/>
    </row>
    <row r="68" spans="1:10" ht="16.5" customHeight="1" x14ac:dyDescent="0.35">
      <c r="B68" s="50"/>
      <c r="C68" s="328" t="s">
        <v>1</v>
      </c>
      <c r="D68" s="329"/>
      <c r="E68" s="328" t="s">
        <v>2</v>
      </c>
      <c r="F68" s="330"/>
      <c r="G68" s="328" t="s">
        <v>3</v>
      </c>
      <c r="H68" s="329"/>
      <c r="I68" s="173"/>
      <c r="J68" s="271"/>
    </row>
    <row r="69" spans="1:10" ht="15" customHeight="1" x14ac:dyDescent="0.35">
      <c r="B69" s="281"/>
      <c r="C69" s="110" t="s">
        <v>123</v>
      </c>
      <c r="D69" s="114">
        <v>76345</v>
      </c>
      <c r="E69" s="285" t="s">
        <v>4</v>
      </c>
      <c r="F69" s="109">
        <v>28395</v>
      </c>
      <c r="G69" s="185" t="s">
        <v>5</v>
      </c>
      <c r="H69" s="109">
        <v>8339</v>
      </c>
      <c r="I69" s="173"/>
      <c r="J69" s="271"/>
    </row>
    <row r="70" spans="1:10" ht="15" customHeight="1" x14ac:dyDescent="0.35">
      <c r="B70" s="281"/>
      <c r="C70" s="110" t="s">
        <v>9</v>
      </c>
      <c r="D70" s="114">
        <v>67345</v>
      </c>
      <c r="E70" s="275" t="s">
        <v>7</v>
      </c>
      <c r="F70" s="114">
        <v>46328</v>
      </c>
      <c r="G70" s="185" t="s">
        <v>8</v>
      </c>
      <c r="H70" s="114">
        <v>34283</v>
      </c>
      <c r="I70" s="173"/>
      <c r="J70" s="271"/>
    </row>
    <row r="71" spans="1:10" ht="14.15" customHeight="1" x14ac:dyDescent="0.35">
      <c r="B71" s="281"/>
      <c r="C71" s="110" t="s">
        <v>69</v>
      </c>
      <c r="D71" s="114">
        <v>9603</v>
      </c>
      <c r="E71" s="110" t="s">
        <v>10</v>
      </c>
      <c r="F71" s="114">
        <v>1622</v>
      </c>
      <c r="G71" s="185" t="s">
        <v>11</v>
      </c>
      <c r="H71" s="114">
        <v>3706</v>
      </c>
      <c r="I71" s="173"/>
      <c r="J71" s="271"/>
    </row>
    <row r="72" spans="1:10" ht="12" customHeight="1" x14ac:dyDescent="0.35">
      <c r="B72" s="281"/>
      <c r="C72" s="172" t="s">
        <v>46</v>
      </c>
      <c r="D72" s="184">
        <f>SUM(D69:D71)</f>
        <v>153293</v>
      </c>
      <c r="E72" s="172" t="s">
        <v>14</v>
      </c>
      <c r="F72" s="184">
        <f>SUM(F69:F71)</f>
        <v>76345</v>
      </c>
      <c r="G72" s="172" t="s">
        <v>7</v>
      </c>
      <c r="H72" s="184">
        <f>SUM(H69:H71)</f>
        <v>46328</v>
      </c>
      <c r="I72" s="173"/>
      <c r="J72" s="271"/>
    </row>
    <row r="73" spans="1:10" ht="14.25" customHeight="1" x14ac:dyDescent="0.35">
      <c r="A73" s="1"/>
      <c r="B73" s="281"/>
      <c r="C73" s="101"/>
      <c r="D73" s="244"/>
      <c r="E73" s="244"/>
      <c r="F73" s="244"/>
      <c r="G73" s="244"/>
      <c r="H73" s="244"/>
      <c r="I73" s="263"/>
      <c r="J73" s="117"/>
    </row>
    <row r="74" spans="1:10" ht="6" customHeight="1" x14ac:dyDescent="0.35">
      <c r="A74" s="1"/>
      <c r="B74" s="281"/>
      <c r="C74" s="93"/>
      <c r="D74" s="93"/>
      <c r="E74" s="93"/>
      <c r="F74" s="93"/>
      <c r="G74" s="93"/>
      <c r="H74" s="93"/>
      <c r="I74" s="263"/>
      <c r="J74" s="117"/>
    </row>
    <row r="75" spans="1:10" ht="14.15" customHeight="1" x14ac:dyDescent="0.35">
      <c r="A75" s="1"/>
      <c r="B75" s="135"/>
      <c r="C75" s="298"/>
      <c r="D75" s="106"/>
      <c r="E75" s="298"/>
      <c r="F75" s="298"/>
      <c r="G75" s="298"/>
      <c r="H75" s="298"/>
      <c r="I75" s="287"/>
      <c r="J75" s="178"/>
    </row>
    <row r="76" spans="1:10" ht="20.25" customHeight="1" x14ac:dyDescent="0.35">
      <c r="A76" s="1"/>
      <c r="B76" s="281"/>
      <c r="C76" s="17" t="str">
        <f>C19</f>
        <v>KVOTE- OG FANGSTOVERSIKT</v>
      </c>
      <c r="D76" s="93"/>
      <c r="E76" s="93"/>
      <c r="F76" s="93"/>
      <c r="G76" s="93"/>
      <c r="H76" s="93"/>
      <c r="I76" s="1"/>
      <c r="J76" s="117"/>
    </row>
    <row r="77" spans="1:10" ht="11.25" customHeight="1" x14ac:dyDescent="0.4">
      <c r="A77" s="1"/>
      <c r="B77" s="281"/>
      <c r="C77" s="315"/>
      <c r="D77" s="315"/>
      <c r="E77" s="315"/>
      <c r="F77" s="315"/>
      <c r="G77" s="315"/>
      <c r="H77" s="315"/>
      <c r="I77" s="315"/>
      <c r="J77" s="18"/>
    </row>
    <row r="78" spans="1:10" ht="54" customHeight="1" x14ac:dyDescent="0.35">
      <c r="A78" s="1"/>
      <c r="B78" s="281"/>
      <c r="C78" s="14" t="s">
        <v>16</v>
      </c>
      <c r="D78" s="113" t="s">
        <v>17</v>
      </c>
      <c r="E78" s="14" t="s">
        <v>47</v>
      </c>
      <c r="F78" s="14" t="s">
        <v>161</v>
      </c>
      <c r="G78" s="14" t="s">
        <v>162</v>
      </c>
      <c r="H78" s="14" t="s">
        <v>163</v>
      </c>
      <c r="I78" s="14" t="s">
        <v>164</v>
      </c>
      <c r="J78" s="117"/>
    </row>
    <row r="79" spans="1:10" ht="14.15" customHeight="1" x14ac:dyDescent="0.35">
      <c r="A79" s="1"/>
      <c r="B79" s="281"/>
      <c r="C79" s="31" t="s">
        <v>19</v>
      </c>
      <c r="D79" s="27">
        <f>D80+D81</f>
        <v>28395</v>
      </c>
      <c r="E79" s="27">
        <f>E81+E80</f>
        <v>28879</v>
      </c>
      <c r="F79" s="10">
        <f t="shared" ref="F79:I79" si="5">F81+F80</f>
        <v>890.21355000000005</v>
      </c>
      <c r="G79" s="10">
        <f t="shared" si="5"/>
        <v>20126.50102</v>
      </c>
      <c r="H79" s="10">
        <f>H81+H80</f>
        <v>8752.4989800000003</v>
      </c>
      <c r="I79" s="10">
        <f t="shared" si="5"/>
        <v>18188.502820000002</v>
      </c>
      <c r="J79" s="271"/>
    </row>
    <row r="80" spans="1:10" ht="15" customHeight="1" x14ac:dyDescent="0.35">
      <c r="A80" s="1"/>
      <c r="B80" s="281"/>
      <c r="C80" s="43" t="s">
        <v>20</v>
      </c>
      <c r="D80" s="44">
        <v>27645</v>
      </c>
      <c r="E80" s="44">
        <v>28123</v>
      </c>
      <c r="F80" s="22">
        <f>890.21355</f>
        <v>890.21355000000005</v>
      </c>
      <c r="G80" s="22">
        <f>19623.20669</f>
        <v>19623.206689999999</v>
      </c>
      <c r="H80" s="22">
        <f>E80-G80</f>
        <v>8499.7933100000009</v>
      </c>
      <c r="I80" s="22">
        <f>17778.39942</f>
        <v>17778.399420000002</v>
      </c>
      <c r="J80" s="271"/>
    </row>
    <row r="81" spans="1:10" ht="14.15" customHeight="1" x14ac:dyDescent="0.35">
      <c r="A81" s="1"/>
      <c r="B81" s="281"/>
      <c r="C81" s="62" t="s">
        <v>21</v>
      </c>
      <c r="D81" s="218">
        <v>750</v>
      </c>
      <c r="E81" s="218">
        <v>756</v>
      </c>
      <c r="F81" s="48">
        <f>0</f>
        <v>0</v>
      </c>
      <c r="G81" s="48">
        <f>503.29433</f>
        <v>503.29433</v>
      </c>
      <c r="H81" s="48">
        <f>E81-G81</f>
        <v>252.70567</v>
      </c>
      <c r="I81" s="48">
        <f>410.1034</f>
        <v>410.10340000000002</v>
      </c>
      <c r="J81" s="271"/>
    </row>
    <row r="82" spans="1:10" ht="15.75" customHeight="1" x14ac:dyDescent="0.35">
      <c r="A82" s="1"/>
      <c r="B82" s="50"/>
      <c r="C82" s="15" t="s">
        <v>22</v>
      </c>
      <c r="D82" s="27">
        <f>D83+D88+D89</f>
        <v>47281</v>
      </c>
      <c r="E82" s="27">
        <f>E83+E88+E89</f>
        <v>50748</v>
      </c>
      <c r="F82" s="10">
        <f t="shared" ref="F82:I82" si="6">F83+F88+F89</f>
        <v>1201.61473</v>
      </c>
      <c r="G82" s="10">
        <f t="shared" si="6"/>
        <v>17191.702989999969</v>
      </c>
      <c r="H82" s="10">
        <f>H83+H88+H89</f>
        <v>33556.297010000031</v>
      </c>
      <c r="I82" s="10">
        <f t="shared" si="6"/>
        <v>19308.157129999978</v>
      </c>
      <c r="J82" s="271"/>
    </row>
    <row r="83" spans="1:10" ht="14.15" customHeight="1" x14ac:dyDescent="0.35">
      <c r="A83" s="1"/>
      <c r="B83" s="51"/>
      <c r="C83" s="54" t="s">
        <v>23</v>
      </c>
      <c r="D83" s="55">
        <f>D84+D85+D86+D87</f>
        <v>35236</v>
      </c>
      <c r="E83" s="55">
        <f>E87+E86+E85+E84</f>
        <v>37462</v>
      </c>
      <c r="F83" s="129">
        <f t="shared" ref="F83:I83" si="7">F84+F85+F86+F87</f>
        <v>1002.44124</v>
      </c>
      <c r="G83" s="129">
        <f t="shared" si="7"/>
        <v>13053.71101999997</v>
      </c>
      <c r="H83" s="129">
        <f>H84+H85+H86+H87</f>
        <v>24408.28898000003</v>
      </c>
      <c r="I83" s="129">
        <f t="shared" si="7"/>
        <v>15601.18425999996</v>
      </c>
      <c r="J83" s="271"/>
    </row>
    <row r="84" spans="1:10" ht="14.15" customHeight="1" x14ac:dyDescent="0.35">
      <c r="A84" s="192"/>
      <c r="B84" s="176"/>
      <c r="C84" s="60" t="s">
        <v>24</v>
      </c>
      <c r="D84" s="61">
        <v>9425</v>
      </c>
      <c r="E84" s="61">
        <v>10382</v>
      </c>
      <c r="F84" s="123">
        <f>39.30869</f>
        <v>39.308689999999999</v>
      </c>
      <c r="G84" s="123">
        <f>2374.75877999998</f>
        <v>2374.7587799999801</v>
      </c>
      <c r="H84" s="123">
        <f t="shared" ref="H84:H93" si="8">E84-G84</f>
        <v>8007.2412200000199</v>
      </c>
      <c r="I84" s="123">
        <f>2443.93259999998</f>
        <v>2443.9325999999801</v>
      </c>
      <c r="J84" s="271"/>
    </row>
    <row r="85" spans="1:10" ht="14.15" customHeight="1" x14ac:dyDescent="0.35">
      <c r="A85" s="192"/>
      <c r="B85" s="176"/>
      <c r="C85" s="60" t="s">
        <v>48</v>
      </c>
      <c r="D85" s="61">
        <v>9801</v>
      </c>
      <c r="E85" s="61">
        <v>10815</v>
      </c>
      <c r="F85" s="123">
        <f>539.9655</f>
        <v>539.96550000000002</v>
      </c>
      <c r="G85" s="123">
        <f>4570.03877999999</f>
        <v>4570.0387799999899</v>
      </c>
      <c r="H85" s="123">
        <f t="shared" si="8"/>
        <v>6244.9612200000101</v>
      </c>
      <c r="I85" s="123">
        <f>3957.81385999998</f>
        <v>3957.8138599999802</v>
      </c>
      <c r="J85" s="271"/>
    </row>
    <row r="86" spans="1:10" ht="14.15" customHeight="1" x14ac:dyDescent="0.35">
      <c r="A86" s="192"/>
      <c r="B86" s="176"/>
      <c r="C86" s="60" t="s">
        <v>49</v>
      </c>
      <c r="D86" s="61">
        <v>9599</v>
      </c>
      <c r="E86" s="61">
        <v>9753</v>
      </c>
      <c r="F86" s="123">
        <f>266.23086</f>
        <v>266.23086000000001</v>
      </c>
      <c r="G86" s="123">
        <f>3920.29553</f>
        <v>3920.2955299999999</v>
      </c>
      <c r="H86" s="123">
        <f t="shared" si="8"/>
        <v>5832.7044700000006</v>
      </c>
      <c r="I86" s="123">
        <f>5204.00705</f>
        <v>5204.0070500000002</v>
      </c>
      <c r="J86" s="271"/>
    </row>
    <row r="87" spans="1:10" ht="14.15" customHeight="1" x14ac:dyDescent="0.35">
      <c r="A87" s="192"/>
      <c r="B87" s="176"/>
      <c r="C87" s="60" t="s">
        <v>27</v>
      </c>
      <c r="D87" s="61">
        <v>6411</v>
      </c>
      <c r="E87" s="61">
        <v>6512</v>
      </c>
      <c r="F87" s="123">
        <f>156.93619</f>
        <v>156.93619000000001</v>
      </c>
      <c r="G87" s="123">
        <f>2188.61793</f>
        <v>2188.6179299999999</v>
      </c>
      <c r="H87" s="123">
        <f t="shared" si="8"/>
        <v>4323.3820699999997</v>
      </c>
      <c r="I87" s="123">
        <f>3995.43075</f>
        <v>3995.43075</v>
      </c>
      <c r="J87" s="271"/>
    </row>
    <row r="88" spans="1:10" ht="14.15" customHeight="1" x14ac:dyDescent="0.35">
      <c r="A88" s="192"/>
      <c r="B88" s="176"/>
      <c r="C88" s="54" t="s">
        <v>50</v>
      </c>
      <c r="D88" s="55">
        <v>8339</v>
      </c>
      <c r="E88" s="55">
        <v>9205</v>
      </c>
      <c r="F88" s="129">
        <f>176.0434</f>
        <v>176.04339999999999</v>
      </c>
      <c r="G88" s="129">
        <f>2939.45557</f>
        <v>2939.4555700000001</v>
      </c>
      <c r="H88" s="129">
        <f t="shared" si="8"/>
        <v>6265.5444299999999</v>
      </c>
      <c r="I88" s="129">
        <f>2679.41354</f>
        <v>2679.41354</v>
      </c>
      <c r="J88" s="271"/>
    </row>
    <row r="89" spans="1:10" ht="15.75" customHeight="1" x14ac:dyDescent="0.35">
      <c r="A89" s="1"/>
      <c r="B89" s="51"/>
      <c r="C89" s="37" t="s">
        <v>11</v>
      </c>
      <c r="D89" s="59">
        <v>3706</v>
      </c>
      <c r="E89" s="59">
        <v>4081</v>
      </c>
      <c r="F89" s="72">
        <f>23.13009</f>
        <v>23.130089999999999</v>
      </c>
      <c r="G89" s="72">
        <f>1198.5364</f>
        <v>1198.5364</v>
      </c>
      <c r="H89" s="72">
        <f t="shared" si="8"/>
        <v>2882.4636</v>
      </c>
      <c r="I89" s="72">
        <f>1027.55933000002</f>
        <v>1027.5593300000201</v>
      </c>
      <c r="J89" s="271"/>
    </row>
    <row r="90" spans="1:10" ht="15.75" customHeight="1" x14ac:dyDescent="0.35">
      <c r="A90" s="1"/>
      <c r="B90" s="51"/>
      <c r="C90" s="70" t="s">
        <v>33</v>
      </c>
      <c r="D90" s="86">
        <v>319</v>
      </c>
      <c r="E90" s="86">
        <v>319</v>
      </c>
      <c r="F90" s="95">
        <f>0.07284</f>
        <v>7.2840000000000002E-2</v>
      </c>
      <c r="G90" s="95">
        <f>11.61007</f>
        <v>11.61007</v>
      </c>
      <c r="H90" s="95">
        <f t="shared" si="8"/>
        <v>307.38992999999999</v>
      </c>
      <c r="I90" s="95">
        <f>27.11445</f>
        <v>27.114450000000001</v>
      </c>
      <c r="J90" s="271"/>
    </row>
    <row r="91" spans="1:10" ht="18" customHeight="1" x14ac:dyDescent="0.35">
      <c r="A91" s="1"/>
      <c r="B91" s="281"/>
      <c r="C91" s="70" t="s">
        <v>51</v>
      </c>
      <c r="D91" s="140">
        <v>300</v>
      </c>
      <c r="E91" s="140">
        <v>300</v>
      </c>
      <c r="F91" s="136">
        <f>0.26968</f>
        <v>0.26967999999999998</v>
      </c>
      <c r="G91" s="136">
        <f>E91</f>
        <v>300</v>
      </c>
      <c r="H91" s="136">
        <f t="shared" si="8"/>
        <v>0</v>
      </c>
      <c r="I91" s="136">
        <f>E91</f>
        <v>300</v>
      </c>
      <c r="J91" s="271"/>
    </row>
    <row r="92" spans="1:10" ht="16.5" customHeight="1" x14ac:dyDescent="0.35">
      <c r="A92" s="1"/>
      <c r="B92" s="281"/>
      <c r="C92" s="89" t="s">
        <v>37</v>
      </c>
      <c r="D92" s="140">
        <v>50</v>
      </c>
      <c r="E92" s="140">
        <v>50</v>
      </c>
      <c r="F92" s="95">
        <f>0.09825</f>
        <v>9.8250000000000004E-2</v>
      </c>
      <c r="G92" s="95">
        <f>3.31098</f>
        <v>3.3109799999999998</v>
      </c>
      <c r="H92" s="136">
        <f t="shared" si="8"/>
        <v>46.689019999999999</v>
      </c>
      <c r="I92" s="95">
        <f>11.46801</f>
        <v>11.46801</v>
      </c>
      <c r="J92" s="271"/>
    </row>
    <row r="93" spans="1:10" ht="18" customHeight="1" x14ac:dyDescent="0.35">
      <c r="A93" s="1"/>
      <c r="B93" s="281"/>
      <c r="C93" s="89" t="s">
        <v>52</v>
      </c>
      <c r="D93" s="140"/>
      <c r="E93" s="136"/>
      <c r="F93" s="136">
        <f>0</f>
        <v>0</v>
      </c>
      <c r="G93" s="136">
        <f>8.6115</f>
        <v>8.6114999999999995</v>
      </c>
      <c r="H93" s="136">
        <f t="shared" si="8"/>
        <v>-8.6114999999999995</v>
      </c>
      <c r="I93" s="136">
        <f>5.1777</f>
        <v>5.1776999999999997</v>
      </c>
      <c r="J93" s="271"/>
    </row>
    <row r="94" spans="1:10" ht="16.5" customHeight="1" x14ac:dyDescent="0.35">
      <c r="A94" s="1"/>
      <c r="B94" s="281"/>
      <c r="C94" s="71" t="s">
        <v>39</v>
      </c>
      <c r="D94" s="73">
        <f>D79+D82+D90+D91+D92+D93</f>
        <v>76345</v>
      </c>
      <c r="E94" s="73">
        <f t="shared" ref="E94" si="9">E79+E82+E90+E91+E92+E93</f>
        <v>80296</v>
      </c>
      <c r="F94" s="73">
        <f t="shared" ref="F94:I94" si="10">F79+F82+F90+F91+F92+F93</f>
        <v>2092.2690499999999</v>
      </c>
      <c r="G94" s="73">
        <f t="shared" si="10"/>
        <v>37641.736559999976</v>
      </c>
      <c r="H94" s="73">
        <f>H79+H82+H90+H91+H92+H93</f>
        <v>42654.263440000024</v>
      </c>
      <c r="I94" s="73">
        <f t="shared" si="10"/>
        <v>37840.420109999977</v>
      </c>
      <c r="J94" s="271"/>
    </row>
    <row r="95" spans="1:10" ht="13.5" customHeight="1" x14ac:dyDescent="0.35">
      <c r="A95" s="1"/>
      <c r="B95" s="281"/>
      <c r="C95" s="74" t="s">
        <v>143</v>
      </c>
      <c r="D95" s="97"/>
      <c r="E95" s="97"/>
      <c r="F95" s="98"/>
      <c r="G95" s="98"/>
      <c r="H95" s="100"/>
      <c r="I95" s="255"/>
      <c r="J95" s="271"/>
    </row>
    <row r="96" spans="1:10" ht="13.5" customHeight="1" x14ac:dyDescent="0.35">
      <c r="A96" s="1"/>
      <c r="B96" s="24"/>
      <c r="C96" s="156" t="s">
        <v>158</v>
      </c>
      <c r="D96" s="216"/>
      <c r="E96" s="216"/>
      <c r="F96" s="76"/>
      <c r="G96" s="76"/>
      <c r="H96" s="255"/>
      <c r="I96" s="255"/>
      <c r="J96" s="102"/>
    </row>
    <row r="97" spans="1:10" ht="15" customHeight="1" x14ac:dyDescent="0.35">
      <c r="A97" s="1"/>
      <c r="B97" s="24"/>
      <c r="C97" s="156" t="s">
        <v>144</v>
      </c>
      <c r="D97" s="216"/>
      <c r="E97" s="216"/>
      <c r="F97" s="76"/>
      <c r="G97" s="76"/>
      <c r="H97" s="255"/>
      <c r="I97" s="255"/>
      <c r="J97" s="102"/>
    </row>
    <row r="98" spans="1:10" ht="15" customHeight="1" x14ac:dyDescent="0.35">
      <c r="A98" s="1"/>
      <c r="B98" s="24"/>
      <c r="C98" s="255" t="s">
        <v>53</v>
      </c>
      <c r="D98" s="216"/>
      <c r="E98" s="216"/>
      <c r="F98" s="76"/>
      <c r="G98" s="76"/>
      <c r="H98" s="255"/>
      <c r="I98" s="255"/>
      <c r="J98" s="102"/>
    </row>
    <row r="99" spans="1:10" ht="12" customHeight="1" x14ac:dyDescent="0.35">
      <c r="A99" s="1"/>
      <c r="B99" s="88"/>
      <c r="C99" s="104"/>
      <c r="D99" s="107"/>
      <c r="E99" s="107"/>
      <c r="F99" s="107"/>
      <c r="G99" s="107"/>
      <c r="H99" s="107"/>
      <c r="I99" s="201"/>
      <c r="J99" s="108"/>
    </row>
    <row r="100" spans="1:10" ht="12" customHeight="1" x14ac:dyDescent="0.35">
      <c r="A100" s="1"/>
      <c r="B100" s="101"/>
      <c r="C100" s="1" t="s">
        <v>108</v>
      </c>
      <c r="D100" s="255"/>
      <c r="E100" s="255"/>
      <c r="F100" s="255"/>
      <c r="G100" s="255"/>
      <c r="H100" s="255"/>
      <c r="I100" s="101"/>
      <c r="J100" s="101" t="s">
        <v>108</v>
      </c>
    </row>
    <row r="101" spans="1:10" ht="14.25" customHeight="1" x14ac:dyDescent="0.35">
      <c r="A101" s="1"/>
      <c r="B101" s="101"/>
      <c r="C101" s="101" t="s">
        <v>108</v>
      </c>
      <c r="D101" s="101" t="s">
        <v>108</v>
      </c>
      <c r="E101" s="101"/>
      <c r="F101" s="101"/>
      <c r="G101" s="101"/>
      <c r="H101" s="101"/>
      <c r="I101" s="101"/>
      <c r="J101" s="101" t="s">
        <v>108</v>
      </c>
    </row>
    <row r="102" spans="1:10" ht="17.149999999999999" customHeight="1" x14ac:dyDescent="0.35">
      <c r="A102" s="223"/>
      <c r="B102" s="223"/>
      <c r="C102" s="233" t="s">
        <v>54</v>
      </c>
      <c r="D102" s="223"/>
      <c r="E102" s="223"/>
      <c r="F102" s="223"/>
      <c r="G102" s="223"/>
      <c r="H102" s="223"/>
      <c r="I102" s="223"/>
      <c r="J102" s="223"/>
    </row>
    <row r="103" spans="1:10" ht="3" customHeight="1" x14ac:dyDescent="0.35">
      <c r="A103" s="223"/>
      <c r="B103" s="223"/>
      <c r="C103" s="233"/>
      <c r="D103" s="223"/>
      <c r="E103" s="223"/>
      <c r="F103" s="223"/>
      <c r="G103" s="223"/>
      <c r="H103" s="223"/>
      <c r="I103" s="223"/>
      <c r="J103" s="223"/>
    </row>
    <row r="104" spans="1:10" ht="14.15" customHeight="1" x14ac:dyDescent="0.35">
      <c r="A104" s="1"/>
      <c r="B104" s="134"/>
      <c r="C104" s="150"/>
      <c r="D104" s="150"/>
      <c r="E104" s="150"/>
      <c r="F104" s="150"/>
      <c r="G104" s="150"/>
      <c r="H104" s="150"/>
      <c r="I104" s="150"/>
      <c r="J104" s="158"/>
    </row>
    <row r="105" spans="1:10" ht="15" customHeight="1" x14ac:dyDescent="0.35">
      <c r="A105" s="1"/>
      <c r="B105" s="50"/>
      <c r="C105" s="144" t="s">
        <v>1</v>
      </c>
      <c r="D105" s="180"/>
      <c r="E105" s="144" t="s">
        <v>2</v>
      </c>
      <c r="F105" s="180"/>
      <c r="G105" s="144" t="s">
        <v>3</v>
      </c>
      <c r="H105" s="180"/>
      <c r="I105" s="173"/>
      <c r="J105" s="271"/>
    </row>
    <row r="106" spans="1:10" ht="14.15" customHeight="1" x14ac:dyDescent="0.35">
      <c r="A106" s="1"/>
      <c r="B106" s="281"/>
      <c r="C106" s="110" t="s">
        <v>6</v>
      </c>
      <c r="D106" s="109">
        <v>150770</v>
      </c>
      <c r="E106" s="96" t="s">
        <v>4</v>
      </c>
      <c r="F106" s="109">
        <v>54246</v>
      </c>
      <c r="G106" s="110" t="s">
        <v>5</v>
      </c>
      <c r="H106" s="109">
        <v>6128</v>
      </c>
      <c r="I106" s="173"/>
      <c r="J106" s="271"/>
    </row>
    <row r="107" spans="1:10" ht="14.15" customHeight="1" x14ac:dyDescent="0.35">
      <c r="A107" s="1"/>
      <c r="B107" s="281"/>
      <c r="C107" s="110" t="s">
        <v>9</v>
      </c>
      <c r="D107" s="114">
        <v>12100</v>
      </c>
      <c r="E107" s="110" t="s">
        <v>7</v>
      </c>
      <c r="F107" s="114">
        <v>55713</v>
      </c>
      <c r="G107" s="110" t="s">
        <v>8</v>
      </c>
      <c r="H107" s="114">
        <v>41785</v>
      </c>
      <c r="I107" s="173"/>
      <c r="J107" s="271"/>
    </row>
    <row r="108" spans="1:10" ht="14.15" customHeight="1" x14ac:dyDescent="0.35">
      <c r="A108" s="1"/>
      <c r="B108" s="281"/>
      <c r="C108" s="275" t="s">
        <v>55</v>
      </c>
      <c r="D108" s="114">
        <v>1279</v>
      </c>
      <c r="E108" s="110" t="s">
        <v>56</v>
      </c>
      <c r="F108" s="114">
        <v>36653</v>
      </c>
      <c r="G108" s="110" t="s">
        <v>11</v>
      </c>
      <c r="H108" s="114">
        <v>7800</v>
      </c>
      <c r="I108" s="173"/>
      <c r="J108" s="271"/>
    </row>
    <row r="109" spans="1:10" ht="14.15" customHeight="1" x14ac:dyDescent="0.35">
      <c r="A109" s="1"/>
      <c r="B109" s="149"/>
      <c r="C109" s="161"/>
      <c r="D109" s="185"/>
      <c r="E109" s="185" t="s">
        <v>145</v>
      </c>
      <c r="F109" s="114">
        <v>4158</v>
      </c>
      <c r="G109" s="110"/>
      <c r="H109" s="161"/>
      <c r="I109" s="173"/>
      <c r="J109" s="271"/>
    </row>
    <row r="110" spans="1:10" ht="12" customHeight="1" x14ac:dyDescent="0.35">
      <c r="A110" s="1"/>
      <c r="B110" s="281"/>
      <c r="C110" s="172" t="s">
        <v>46</v>
      </c>
      <c r="D110" s="206">
        <v>164149</v>
      </c>
      <c r="E110" s="112" t="s">
        <v>14</v>
      </c>
      <c r="F110" s="184">
        <v>150770</v>
      </c>
      <c r="G110" s="172" t="s">
        <v>7</v>
      </c>
      <c r="H110" s="184">
        <v>55713</v>
      </c>
      <c r="I110" s="173"/>
      <c r="J110" s="271"/>
    </row>
    <row r="111" spans="1:10" ht="12" customHeight="1" x14ac:dyDescent="0.35">
      <c r="A111" s="101"/>
      <c r="B111" s="24"/>
      <c r="C111" s="101" t="s">
        <v>146</v>
      </c>
      <c r="D111" s="101"/>
      <c r="E111" s="101"/>
      <c r="F111" s="101"/>
      <c r="G111" s="101"/>
      <c r="H111" s="101"/>
      <c r="I111" s="101"/>
      <c r="J111" s="157"/>
    </row>
    <row r="112" spans="1:10" ht="17.149999999999999" customHeight="1" x14ac:dyDescent="0.35">
      <c r="A112" s="1"/>
      <c r="B112" s="268"/>
      <c r="C112" s="298"/>
      <c r="D112" s="298"/>
      <c r="E112" s="260"/>
      <c r="F112" s="260"/>
      <c r="G112" s="260"/>
      <c r="H112" s="260"/>
      <c r="I112" s="260"/>
      <c r="J112" s="272"/>
    </row>
    <row r="113" spans="1:10" ht="25.5" customHeight="1" x14ac:dyDescent="0.35">
      <c r="A113" s="1"/>
      <c r="B113" s="281"/>
      <c r="C113" s="17" t="str">
        <f>C19</f>
        <v>KVOTE- OG FANGSTOVERSIKT</v>
      </c>
      <c r="D113" s="1"/>
      <c r="E113" s="1"/>
      <c r="F113" s="1"/>
      <c r="G113" s="1"/>
      <c r="H113" s="1"/>
      <c r="I113" s="1"/>
      <c r="J113" s="117"/>
    </row>
    <row r="114" spans="1:10" ht="53.25" customHeight="1" x14ac:dyDescent="0.35">
      <c r="A114" s="152"/>
      <c r="B114" s="50"/>
      <c r="C114" s="290" t="s">
        <v>16</v>
      </c>
      <c r="D114" s="14" t="s">
        <v>17</v>
      </c>
      <c r="E114" s="14" t="s">
        <v>57</v>
      </c>
      <c r="F114" s="14" t="s">
        <v>161</v>
      </c>
      <c r="G114" s="14" t="s">
        <v>162</v>
      </c>
      <c r="H114" s="14" t="s">
        <v>163</v>
      </c>
      <c r="I114" s="14" t="s">
        <v>164</v>
      </c>
      <c r="J114" s="305"/>
    </row>
    <row r="115" spans="1:10" ht="14.15" customHeight="1" x14ac:dyDescent="0.35">
      <c r="A115" s="1"/>
      <c r="B115" s="281"/>
      <c r="C115" s="15" t="s">
        <v>58</v>
      </c>
      <c r="D115" s="27">
        <f>D116+D117+D118</f>
        <v>54246</v>
      </c>
      <c r="E115" s="27">
        <f>E116+E117+E118</f>
        <v>54246</v>
      </c>
      <c r="F115" s="10">
        <f t="shared" ref="F115:I115" si="11">F116+F117+F118</f>
        <v>1182.7803200000001</v>
      </c>
      <c r="G115" s="10">
        <f t="shared" si="11"/>
        <v>17183.718830000002</v>
      </c>
      <c r="H115" s="10">
        <f t="shared" si="11"/>
        <v>37062.281170000002</v>
      </c>
      <c r="I115" s="10">
        <f t="shared" si="11"/>
        <v>28170.971969999999</v>
      </c>
      <c r="J115" s="271"/>
    </row>
    <row r="116" spans="1:10" ht="14.15" customHeight="1" x14ac:dyDescent="0.35">
      <c r="A116" s="1"/>
      <c r="B116" s="281"/>
      <c r="C116" s="43" t="s">
        <v>20</v>
      </c>
      <c r="D116" s="44">
        <v>43397</v>
      </c>
      <c r="E116" s="44">
        <v>43397</v>
      </c>
      <c r="F116" s="22">
        <f>1182.78032</f>
        <v>1182.7803200000001</v>
      </c>
      <c r="G116" s="22">
        <f>14824.41378</f>
        <v>14824.413780000001</v>
      </c>
      <c r="H116" s="22">
        <f>E116-G116</f>
        <v>28572.586219999997</v>
      </c>
      <c r="I116" s="22">
        <f>25005.59317</f>
        <v>25005.59317</v>
      </c>
      <c r="J116" s="271"/>
    </row>
    <row r="117" spans="1:10" ht="15" customHeight="1" x14ac:dyDescent="0.35">
      <c r="A117" s="1"/>
      <c r="B117" s="281"/>
      <c r="C117" s="43" t="s">
        <v>21</v>
      </c>
      <c r="D117" s="44">
        <v>10349</v>
      </c>
      <c r="E117" s="44">
        <v>10349</v>
      </c>
      <c r="F117" s="22">
        <f>0</f>
        <v>0</v>
      </c>
      <c r="G117" s="22">
        <f>2286.36455</f>
        <v>2286.3645499999998</v>
      </c>
      <c r="H117" s="22">
        <f>E117-G117</f>
        <v>8062.6354499999998</v>
      </c>
      <c r="I117" s="22">
        <f>3100.0212</f>
        <v>3100.0212000000001</v>
      </c>
      <c r="J117" s="271"/>
    </row>
    <row r="118" spans="1:10" ht="13.5" customHeight="1" x14ac:dyDescent="0.35">
      <c r="A118" s="1"/>
      <c r="B118" s="281"/>
      <c r="C118" s="47" t="s">
        <v>59</v>
      </c>
      <c r="D118" s="32">
        <v>500</v>
      </c>
      <c r="E118" s="32">
        <v>500</v>
      </c>
      <c r="F118" s="22">
        <f>0</f>
        <v>0</v>
      </c>
      <c r="G118" s="22">
        <f>72.9405</f>
        <v>72.9405</v>
      </c>
      <c r="H118" s="53">
        <f>E118-G118</f>
        <v>427.05950000000001</v>
      </c>
      <c r="I118" s="22">
        <f>65.3576</f>
        <v>65.357600000000005</v>
      </c>
      <c r="J118" s="271"/>
    </row>
    <row r="119" spans="1:10" ht="14.25" customHeight="1" x14ac:dyDescent="0.35">
      <c r="A119" s="65"/>
      <c r="B119" s="75"/>
      <c r="C119" s="85" t="s">
        <v>60</v>
      </c>
      <c r="D119" s="87">
        <v>36653</v>
      </c>
      <c r="E119" s="87">
        <v>36653</v>
      </c>
      <c r="F119" s="92">
        <f>0</f>
        <v>0</v>
      </c>
      <c r="G119" s="92">
        <f>3515.863+21.8318+289.2993</f>
        <v>3826.9940999999999</v>
      </c>
      <c r="H119" s="92">
        <f>E119-G119</f>
        <v>32826.005900000004</v>
      </c>
      <c r="I119" s="92">
        <f>1941.7936</f>
        <v>1941.7936</v>
      </c>
      <c r="J119" s="111"/>
    </row>
    <row r="120" spans="1:10" ht="15.75" customHeight="1" x14ac:dyDescent="0.35">
      <c r="A120" s="1"/>
      <c r="B120" s="281"/>
      <c r="C120" s="139" t="s">
        <v>22</v>
      </c>
      <c r="D120" s="140">
        <f>D121+D126+D129</f>
        <v>57110</v>
      </c>
      <c r="E120" s="140">
        <f>E121+E126+E129</f>
        <v>57110</v>
      </c>
      <c r="F120" s="91">
        <f>F121+F126+F129</f>
        <v>324.57355000000001</v>
      </c>
      <c r="G120" s="91">
        <f t="shared" ref="G120" si="12">G121+G126+G129</f>
        <v>19603.01010000001</v>
      </c>
      <c r="H120" s="91">
        <f>H121+H126+H129</f>
        <v>37506.989899999986</v>
      </c>
      <c r="I120" s="91">
        <f>I121+I126+I129</f>
        <v>33431.936789999992</v>
      </c>
      <c r="J120" s="117"/>
    </row>
    <row r="121" spans="1:10" ht="14.15" customHeight="1" x14ac:dyDescent="0.35">
      <c r="A121" s="1"/>
      <c r="B121" s="50"/>
      <c r="C121" s="118" t="s">
        <v>61</v>
      </c>
      <c r="D121" s="119">
        <f>D122+D123+D124+D125</f>
        <v>43182</v>
      </c>
      <c r="E121" s="119">
        <f>E122+E123+E124+E125</f>
        <v>43182</v>
      </c>
      <c r="F121" s="121">
        <f>F122+F123+F124+F125</f>
        <v>235.51358000000002</v>
      </c>
      <c r="G121" s="121">
        <f>G122+G123+G125+G124</f>
        <v>14982.18299000001</v>
      </c>
      <c r="H121" s="121">
        <f>H122+H123+H124+H125</f>
        <v>28199.817009999988</v>
      </c>
      <c r="I121" s="121">
        <f>I122+I123+I124+I125</f>
        <v>24968.021899999989</v>
      </c>
      <c r="J121" s="305"/>
    </row>
    <row r="122" spans="1:10" ht="14.15" customHeight="1" x14ac:dyDescent="0.35">
      <c r="A122" s="192"/>
      <c r="B122" s="122"/>
      <c r="C122" s="60" t="s">
        <v>24</v>
      </c>
      <c r="D122" s="61">
        <v>11476</v>
      </c>
      <c r="E122" s="61">
        <v>11476</v>
      </c>
      <c r="F122" s="123">
        <f>82.75579</f>
        <v>82.755790000000005</v>
      </c>
      <c r="G122" s="123">
        <f>4101.45856</f>
        <v>4101.45856</v>
      </c>
      <c r="H122" s="123">
        <f>E122-G122</f>
        <v>7374.54144</v>
      </c>
      <c r="I122" s="123">
        <f>5521.84283</f>
        <v>5521.8428299999996</v>
      </c>
      <c r="J122" s="125"/>
    </row>
    <row r="123" spans="1:10" ht="14.15" customHeight="1" x14ac:dyDescent="0.35">
      <c r="A123" s="192"/>
      <c r="B123" s="176"/>
      <c r="C123" s="60" t="s">
        <v>48</v>
      </c>
      <c r="D123" s="61">
        <v>11835</v>
      </c>
      <c r="E123" s="61">
        <v>11835</v>
      </c>
      <c r="F123" s="123">
        <f>34.02459</f>
        <v>34.024590000000003</v>
      </c>
      <c r="G123" s="123">
        <f>4653.58942000001</f>
        <v>4653.5894200000103</v>
      </c>
      <c r="H123" s="123">
        <f>E123-G123</f>
        <v>7181.4105799999897</v>
      </c>
      <c r="I123" s="123">
        <f>7529.71811999999</f>
        <v>7529.7181199999904</v>
      </c>
      <c r="J123" s="126"/>
    </row>
    <row r="124" spans="1:10" ht="14.15" customHeight="1" x14ac:dyDescent="0.35">
      <c r="A124" s="192"/>
      <c r="B124" s="176"/>
      <c r="C124" s="60" t="s">
        <v>49</v>
      </c>
      <c r="D124" s="61">
        <v>10473</v>
      </c>
      <c r="E124" s="61">
        <v>10473</v>
      </c>
      <c r="F124" s="123">
        <f>51.6099</f>
        <v>51.609900000000003</v>
      </c>
      <c r="G124" s="123">
        <f>3241.0339-21.8318</f>
        <v>3219.2021</v>
      </c>
      <c r="H124" s="123">
        <f>E124-G124</f>
        <v>7253.7978999999996</v>
      </c>
      <c r="I124" s="123">
        <f>5678.34587</f>
        <v>5678.3458700000001</v>
      </c>
      <c r="J124" s="126"/>
    </row>
    <row r="125" spans="1:10" ht="14.15" customHeight="1" x14ac:dyDescent="0.35">
      <c r="A125" s="192"/>
      <c r="B125" s="176"/>
      <c r="C125" s="60" t="s">
        <v>27</v>
      </c>
      <c r="D125" s="61">
        <v>9398</v>
      </c>
      <c r="E125" s="61">
        <v>9398</v>
      </c>
      <c r="F125" s="123">
        <f>67.1233</f>
        <v>67.1233</v>
      </c>
      <c r="G125" s="123">
        <f>3297.23221-289.2993</f>
        <v>3007.93291</v>
      </c>
      <c r="H125" s="123">
        <f>E125-G125</f>
        <v>6390.0670900000005</v>
      </c>
      <c r="I125" s="123">
        <f>6238.11508</f>
        <v>6238.1150799999996</v>
      </c>
      <c r="J125" s="126"/>
    </row>
    <row r="126" spans="1:10" ht="14.15" customHeight="1" x14ac:dyDescent="0.35">
      <c r="A126" s="64"/>
      <c r="B126" s="51"/>
      <c r="C126" s="54" t="s">
        <v>28</v>
      </c>
      <c r="D126" s="55">
        <f>D127+D128</f>
        <v>6128</v>
      </c>
      <c r="E126" s="55">
        <f>E127+E128</f>
        <v>6128</v>
      </c>
      <c r="F126" s="129">
        <f>SUM(F127:F128)</f>
        <v>0.68400000000000005</v>
      </c>
      <c r="G126" s="129">
        <f>SUM(G127:G128)</f>
        <v>1841.7850100000001</v>
      </c>
      <c r="H126" s="129">
        <f>H127+H128</f>
        <v>4286.2149899999995</v>
      </c>
      <c r="I126" s="129">
        <f>SUM(I127:I128)</f>
        <v>5726.2914499999997</v>
      </c>
      <c r="J126" s="130"/>
    </row>
    <row r="127" spans="1:10" ht="14.15" customHeight="1" x14ac:dyDescent="0.35">
      <c r="A127" s="1"/>
      <c r="B127" s="281"/>
      <c r="C127" s="60" t="s">
        <v>62</v>
      </c>
      <c r="D127" s="61">
        <v>5628</v>
      </c>
      <c r="E127" s="61">
        <v>5628</v>
      </c>
      <c r="F127" s="123">
        <f>0</f>
        <v>0</v>
      </c>
      <c r="G127" s="123">
        <f>1674.77584</f>
        <v>1674.77584</v>
      </c>
      <c r="H127" s="123">
        <f t="shared" ref="H127:H135" si="13">E127-G127</f>
        <v>3953.2241599999998</v>
      </c>
      <c r="I127" s="123">
        <f>5610.78668</f>
        <v>5610.7866800000002</v>
      </c>
      <c r="J127" s="117"/>
    </row>
    <row r="128" spans="1:10" ht="15" customHeight="1" x14ac:dyDescent="0.35">
      <c r="A128" s="1"/>
      <c r="B128" s="51"/>
      <c r="C128" s="60" t="s">
        <v>63</v>
      </c>
      <c r="D128" s="61">
        <v>500</v>
      </c>
      <c r="E128" s="61">
        <v>500</v>
      </c>
      <c r="F128" s="123">
        <f>0.684</f>
        <v>0.68400000000000005</v>
      </c>
      <c r="G128" s="123">
        <f>167.00917</f>
        <v>167.00917000000001</v>
      </c>
      <c r="H128" s="123">
        <f t="shared" si="13"/>
        <v>332.99082999999996</v>
      </c>
      <c r="I128" s="123">
        <f>115.50477</f>
        <v>115.50476999999999</v>
      </c>
      <c r="J128" s="131"/>
    </row>
    <row r="129" spans="1:10" ht="15.75" customHeight="1" x14ac:dyDescent="0.35">
      <c r="A129" s="1"/>
      <c r="B129" s="281"/>
      <c r="C129" s="37" t="s">
        <v>11</v>
      </c>
      <c r="D129" s="59">
        <v>7800</v>
      </c>
      <c r="E129" s="59">
        <v>7800</v>
      </c>
      <c r="F129" s="72">
        <f>88.37597</f>
        <v>88.375969999999995</v>
      </c>
      <c r="G129" s="72">
        <f>2779.0421</f>
        <v>2779.0421000000001</v>
      </c>
      <c r="H129" s="72">
        <f t="shared" si="13"/>
        <v>5020.9578999999994</v>
      </c>
      <c r="I129" s="72">
        <f>2737.62344</f>
        <v>2737.6234399999998</v>
      </c>
      <c r="J129" s="117"/>
    </row>
    <row r="130" spans="1:10" ht="15.75" customHeight="1" x14ac:dyDescent="0.35">
      <c r="A130" s="1"/>
      <c r="B130" s="281"/>
      <c r="C130" s="139" t="s">
        <v>33</v>
      </c>
      <c r="D130" s="140">
        <v>156</v>
      </c>
      <c r="E130" s="140">
        <v>156</v>
      </c>
      <c r="F130" s="136">
        <f>0.14985</f>
        <v>0.14985000000000001</v>
      </c>
      <c r="G130" s="136">
        <f>12.99898</f>
        <v>12.99898</v>
      </c>
      <c r="H130" s="136">
        <f t="shared" si="13"/>
        <v>143.00102000000001</v>
      </c>
      <c r="I130" s="136">
        <f>15.2427</f>
        <v>15.242699999999999</v>
      </c>
      <c r="J130" s="117"/>
    </row>
    <row r="131" spans="1:10" ht="15.75" customHeight="1" x14ac:dyDescent="0.35">
      <c r="A131" s="1"/>
      <c r="B131" s="281"/>
      <c r="C131" s="137" t="s">
        <v>64</v>
      </c>
      <c r="D131" s="86">
        <v>350</v>
      </c>
      <c r="E131" s="86">
        <v>350</v>
      </c>
      <c r="F131" s="95">
        <f>0</f>
        <v>0</v>
      </c>
      <c r="G131" s="95">
        <f>0</f>
        <v>0</v>
      </c>
      <c r="H131" s="95">
        <f t="shared" si="13"/>
        <v>350</v>
      </c>
      <c r="I131" s="95">
        <f>292.56</f>
        <v>292.56</v>
      </c>
      <c r="J131" s="117"/>
    </row>
    <row r="132" spans="1:10" ht="18" customHeight="1" x14ac:dyDescent="0.35">
      <c r="A132" s="1"/>
      <c r="B132" s="281"/>
      <c r="C132" s="137" t="s">
        <v>65</v>
      </c>
      <c r="D132" s="140">
        <v>2000</v>
      </c>
      <c r="E132" s="140">
        <v>2000</v>
      </c>
      <c r="F132" s="136">
        <f>5.61286</f>
        <v>5.6128600000000004</v>
      </c>
      <c r="G132" s="136">
        <f>E132</f>
        <v>2000</v>
      </c>
      <c r="H132" s="136">
        <f t="shared" si="13"/>
        <v>0</v>
      </c>
      <c r="I132" s="136">
        <f>E132</f>
        <v>2000</v>
      </c>
      <c r="J132" s="271"/>
    </row>
    <row r="133" spans="1:10" ht="15.75" customHeight="1" x14ac:dyDescent="0.35">
      <c r="A133" s="1"/>
      <c r="B133" s="281"/>
      <c r="C133" s="139" t="s">
        <v>36</v>
      </c>
      <c r="D133" s="140"/>
      <c r="E133" s="140"/>
      <c r="F133" s="136">
        <v>0</v>
      </c>
      <c r="G133" s="136">
        <v>0</v>
      </c>
      <c r="H133" s="136">
        <f t="shared" si="13"/>
        <v>0</v>
      </c>
      <c r="I133" s="136"/>
      <c r="J133" s="117"/>
    </row>
    <row r="134" spans="1:10" ht="15.75" customHeight="1" x14ac:dyDescent="0.35">
      <c r="A134" s="1"/>
      <c r="B134" s="281"/>
      <c r="C134" s="139" t="s">
        <v>66</v>
      </c>
      <c r="D134" s="140">
        <v>255</v>
      </c>
      <c r="E134" s="140">
        <v>255</v>
      </c>
      <c r="F134" s="95">
        <f>0.1244</f>
        <v>0.1244</v>
      </c>
      <c r="G134" s="95">
        <f>4.73358</f>
        <v>4.7335799999999999</v>
      </c>
      <c r="H134" s="136">
        <f t="shared" si="13"/>
        <v>250.26642000000001</v>
      </c>
      <c r="I134" s="95">
        <f>81.06065</f>
        <v>81.060649999999995</v>
      </c>
      <c r="J134" s="117"/>
    </row>
    <row r="135" spans="1:10" ht="15" customHeight="1" x14ac:dyDescent="0.35">
      <c r="A135" s="1"/>
      <c r="B135" s="281"/>
      <c r="C135" s="139" t="s">
        <v>38</v>
      </c>
      <c r="D135" s="142"/>
      <c r="E135" s="140"/>
      <c r="F135" s="136">
        <f>0</f>
        <v>0</v>
      </c>
      <c r="G135" s="136">
        <f>64.41975</f>
        <v>64.419749999999993</v>
      </c>
      <c r="H135" s="136">
        <f t="shared" si="13"/>
        <v>-64.419749999999993</v>
      </c>
      <c r="I135" s="136">
        <f>74.77426</f>
        <v>74.774259999999998</v>
      </c>
      <c r="J135" s="117"/>
    </row>
    <row r="136" spans="1:10" ht="0" hidden="1" customHeight="1" x14ac:dyDescent="0.35">
      <c r="C136" s="143"/>
      <c r="D136" s="145"/>
      <c r="E136" s="147"/>
      <c r="F136" s="145"/>
      <c r="G136" s="145"/>
      <c r="H136" s="145"/>
      <c r="I136" s="151"/>
    </row>
    <row r="137" spans="1:10" ht="14.25" customHeight="1" x14ac:dyDescent="0.35">
      <c r="A137" s="152"/>
      <c r="B137" s="50"/>
      <c r="C137" s="153" t="s">
        <v>39</v>
      </c>
      <c r="D137" s="73">
        <f t="shared" ref="D137:E137" si="14">D115+D119+D120+D130+D131+D132+D133+D134+D135</f>
        <v>150770</v>
      </c>
      <c r="E137" s="73">
        <f t="shared" si="14"/>
        <v>150770</v>
      </c>
      <c r="F137" s="73">
        <f>F115+F119+F120+F130+F131+F132+F133+F134+F135</f>
        <v>1513.24098</v>
      </c>
      <c r="G137" s="73">
        <f>G115+G119+G120+G130+G131+G132+G133+G134+G135</f>
        <v>42695.875340000006</v>
      </c>
      <c r="H137" s="73">
        <f>H115+H119+H120+H130+H131+H132+H133+H134+H135</f>
        <v>108074.12465999999</v>
      </c>
      <c r="I137" s="73">
        <f>I115+I119+I120+I130+I131+I132+I133+I134+I135</f>
        <v>66008.339970000001</v>
      </c>
      <c r="J137" s="155"/>
    </row>
    <row r="138" spans="1:10" ht="14.25" customHeight="1" x14ac:dyDescent="0.35">
      <c r="A138" s="152"/>
      <c r="B138" s="50"/>
      <c r="C138" s="156" t="s">
        <v>67</v>
      </c>
      <c r="D138" s="116"/>
      <c r="E138" s="116"/>
      <c r="F138" s="116"/>
      <c r="G138" s="116"/>
      <c r="H138" s="159"/>
      <c r="I138" s="159"/>
      <c r="J138" s="155"/>
    </row>
    <row r="139" spans="1:10" ht="14.25" customHeight="1" x14ac:dyDescent="0.35">
      <c r="A139" s="152"/>
      <c r="B139" s="50"/>
      <c r="C139" s="101" t="s">
        <v>157</v>
      </c>
      <c r="D139" s="116"/>
      <c r="E139" s="116"/>
      <c r="F139" s="116"/>
      <c r="G139" s="116"/>
      <c r="H139" s="159"/>
      <c r="I139" s="152"/>
      <c r="J139" s="305"/>
    </row>
    <row r="140" spans="1:10" ht="14.25" customHeight="1" x14ac:dyDescent="0.35">
      <c r="A140" s="152"/>
      <c r="B140" s="50"/>
      <c r="C140" s="156" t="s">
        <v>165</v>
      </c>
      <c r="D140" s="116"/>
      <c r="E140" s="116"/>
      <c r="F140" s="116"/>
      <c r="G140" s="116"/>
      <c r="H140" s="159"/>
      <c r="I140" s="152"/>
      <c r="J140" s="305"/>
    </row>
    <row r="141" spans="1:10" ht="14.25" customHeight="1" x14ac:dyDescent="0.35">
      <c r="A141" s="152"/>
      <c r="B141" s="50"/>
      <c r="C141" s="74" t="s">
        <v>159</v>
      </c>
      <c r="D141" s="116"/>
      <c r="E141" s="116"/>
      <c r="F141" s="116"/>
      <c r="G141" s="116"/>
      <c r="H141" s="159"/>
      <c r="I141" s="159"/>
      <c r="J141" s="305"/>
    </row>
    <row r="142" spans="1:10" ht="15.75" customHeight="1" x14ac:dyDescent="0.35">
      <c r="A142" s="152"/>
      <c r="B142" s="50"/>
      <c r="C142" s="156" t="s">
        <v>120</v>
      </c>
      <c r="D142" s="116"/>
      <c r="E142" s="116"/>
      <c r="F142" s="116"/>
      <c r="G142" s="116"/>
      <c r="H142" s="159"/>
      <c r="I142" s="159"/>
      <c r="J142" s="305"/>
    </row>
    <row r="143" spans="1:10" ht="15.75" customHeight="1" x14ac:dyDescent="0.35">
      <c r="A143" s="152"/>
      <c r="B143" s="50"/>
      <c r="C143" s="74" t="s">
        <v>147</v>
      </c>
      <c r="D143" s="116"/>
      <c r="E143" s="116"/>
      <c r="F143" s="116"/>
      <c r="G143" s="116"/>
      <c r="H143" s="159"/>
      <c r="I143" s="159"/>
      <c r="J143" s="305"/>
    </row>
    <row r="144" spans="1:10" ht="12" customHeight="1" x14ac:dyDescent="0.35">
      <c r="A144" s="1"/>
      <c r="B144" s="160"/>
      <c r="C144" s="104"/>
      <c r="D144" s="162"/>
      <c r="E144" s="162"/>
      <c r="F144" s="162"/>
      <c r="G144" s="162"/>
      <c r="H144" s="104"/>
      <c r="I144" s="104"/>
      <c r="J144" s="115"/>
    </row>
    <row r="145" spans="1:10" ht="12" customHeight="1" x14ac:dyDescent="0.35">
      <c r="A145" s="1"/>
      <c r="B145" s="1"/>
      <c r="C145" s="192"/>
      <c r="D145" s="164"/>
      <c r="E145" s="164"/>
      <c r="F145" s="164"/>
      <c r="G145" s="164"/>
      <c r="H145" s="1"/>
      <c r="I145" s="1"/>
      <c r="J145" s="1"/>
    </row>
    <row r="146" spans="1:10" ht="123.75" customHeight="1" x14ac:dyDescent="0.35">
      <c r="A146" s="1"/>
      <c r="B146" s="1"/>
      <c r="C146" s="192"/>
      <c r="D146" s="164"/>
      <c r="E146" s="164"/>
      <c r="F146" s="164"/>
      <c r="G146" s="164"/>
      <c r="H146" s="1"/>
      <c r="I146" s="1"/>
      <c r="J146" s="1"/>
    </row>
    <row r="147" spans="1:10" ht="21" customHeight="1" x14ac:dyDescent="0.35">
      <c r="A147" s="1" t="s">
        <v>108</v>
      </c>
      <c r="B147" s="2"/>
      <c r="C147" s="233" t="s">
        <v>68</v>
      </c>
      <c r="D147" s="2"/>
      <c r="E147" s="2"/>
      <c r="F147" s="2"/>
      <c r="G147" s="2"/>
      <c r="H147" s="2"/>
      <c r="I147" s="2"/>
      <c r="J147" s="2"/>
    </row>
    <row r="148" spans="1:10" ht="6" customHeight="1" x14ac:dyDescent="0.35">
      <c r="A148" s="1"/>
      <c r="B148" s="2"/>
      <c r="C148" s="233"/>
      <c r="D148" s="2"/>
      <c r="E148" s="2"/>
      <c r="F148" s="2"/>
      <c r="G148" s="2"/>
      <c r="H148" s="2"/>
      <c r="I148" s="2"/>
      <c r="J148" s="2"/>
    </row>
    <row r="149" spans="1:10" ht="12" customHeight="1" x14ac:dyDescent="0.35">
      <c r="A149" s="1" t="s">
        <v>108</v>
      </c>
      <c r="B149" s="132"/>
      <c r="C149" s="169"/>
      <c r="D149" s="169"/>
      <c r="E149" s="169"/>
      <c r="F149" s="169"/>
      <c r="G149" s="169"/>
      <c r="H149" s="169"/>
      <c r="I149" s="169"/>
      <c r="J149" s="171"/>
    </row>
    <row r="150" spans="1:10" ht="14.15" customHeight="1" x14ac:dyDescent="0.35">
      <c r="A150" s="1" t="s">
        <v>108</v>
      </c>
      <c r="B150" s="281"/>
      <c r="C150" s="144" t="s">
        <v>1</v>
      </c>
      <c r="D150" s="180"/>
      <c r="E150" s="306"/>
      <c r="F150" s="306"/>
      <c r="G150" s="306"/>
      <c r="H150" s="1"/>
      <c r="I150" s="1"/>
      <c r="J150" s="117"/>
    </row>
    <row r="151" spans="1:10" ht="14.15" customHeight="1" x14ac:dyDescent="0.35">
      <c r="A151" s="1"/>
      <c r="B151" s="281"/>
      <c r="C151" s="172" t="s">
        <v>6</v>
      </c>
      <c r="D151" s="184">
        <v>9675</v>
      </c>
      <c r="E151" s="306"/>
      <c r="F151" s="306"/>
      <c r="G151" s="306"/>
      <c r="H151" s="1"/>
      <c r="I151" s="1"/>
      <c r="J151" s="117"/>
    </row>
    <row r="152" spans="1:10" ht="14.15" customHeight="1" x14ac:dyDescent="0.35">
      <c r="A152" s="1"/>
      <c r="B152" s="281"/>
      <c r="C152" s="172" t="s">
        <v>9</v>
      </c>
      <c r="D152" s="184">
        <v>8625</v>
      </c>
      <c r="E152" s="306"/>
      <c r="F152" s="306"/>
      <c r="G152" s="262"/>
      <c r="H152" s="1"/>
      <c r="I152" s="1"/>
      <c r="J152" s="117"/>
    </row>
    <row r="153" spans="1:10" ht="14.15" customHeight="1" x14ac:dyDescent="0.35">
      <c r="A153" s="1"/>
      <c r="B153" s="281"/>
      <c r="C153" s="172" t="s">
        <v>69</v>
      </c>
      <c r="D153" s="184">
        <v>700</v>
      </c>
      <c r="E153" s="306"/>
      <c r="F153" s="306"/>
      <c r="G153" s="306"/>
      <c r="H153" s="1"/>
      <c r="I153" s="1"/>
      <c r="J153" s="117"/>
    </row>
    <row r="154" spans="1:10" ht="14.15" customHeight="1" x14ac:dyDescent="0.35">
      <c r="A154" s="1"/>
      <c r="B154" s="281"/>
      <c r="C154" s="172" t="s">
        <v>46</v>
      </c>
      <c r="D154" s="184">
        <v>19000</v>
      </c>
      <c r="E154" s="306"/>
      <c r="F154" s="306"/>
      <c r="G154" s="306"/>
      <c r="H154" s="1"/>
      <c r="I154" s="1"/>
      <c r="J154" s="117"/>
    </row>
    <row r="155" spans="1:10" ht="14.15" customHeight="1" x14ac:dyDescent="0.35">
      <c r="A155" s="1"/>
      <c r="B155" s="281"/>
      <c r="C155" s="1"/>
      <c r="D155" s="45"/>
      <c r="E155" s="306"/>
      <c r="F155" s="306"/>
      <c r="G155" s="306"/>
      <c r="H155" s="1"/>
      <c r="I155" s="1"/>
      <c r="J155" s="117"/>
    </row>
    <row r="156" spans="1:10" ht="3.75" customHeight="1" x14ac:dyDescent="0.35">
      <c r="A156" s="1"/>
      <c r="B156" s="268"/>
      <c r="C156" s="154"/>
      <c r="D156" s="154"/>
      <c r="E156" s="293"/>
      <c r="F156" s="293"/>
      <c r="G156" s="293"/>
      <c r="H156" s="260"/>
      <c r="I156" s="260"/>
      <c r="J156" s="272"/>
    </row>
    <row r="157" spans="1:10" ht="24.75" customHeight="1" x14ac:dyDescent="0.35">
      <c r="A157" s="1"/>
      <c r="B157" s="281"/>
      <c r="C157" s="17" t="s">
        <v>15</v>
      </c>
      <c r="D157" s="173"/>
      <c r="E157" s="164"/>
      <c r="F157" s="164"/>
      <c r="G157" s="164"/>
      <c r="H157" s="1"/>
      <c r="I157" s="1"/>
      <c r="J157" s="117"/>
    </row>
    <row r="158" spans="1:10" ht="15.75" customHeight="1" x14ac:dyDescent="0.35">
      <c r="A158" s="1"/>
      <c r="B158" s="193"/>
      <c r="C158" s="251"/>
      <c r="D158" s="251"/>
      <c r="E158" s="251"/>
      <c r="F158" s="251"/>
      <c r="G158" s="251"/>
      <c r="H158" s="251"/>
      <c r="I158" s="251"/>
      <c r="J158" s="13"/>
    </row>
    <row r="159" spans="1:10" ht="61.5" customHeight="1" x14ac:dyDescent="0.35">
      <c r="A159" s="152"/>
      <c r="B159" s="50"/>
      <c r="C159" s="14" t="s">
        <v>16</v>
      </c>
      <c r="D159" s="170" t="s">
        <v>2</v>
      </c>
      <c r="E159" s="14" t="s">
        <v>161</v>
      </c>
      <c r="F159" s="14" t="s">
        <v>162</v>
      </c>
      <c r="G159" s="52" t="s">
        <v>163</v>
      </c>
      <c r="H159" s="14" t="s">
        <v>164</v>
      </c>
      <c r="I159" s="152"/>
      <c r="J159" s="305"/>
    </row>
    <row r="160" spans="1:10" ht="14.15" customHeight="1" x14ac:dyDescent="0.35">
      <c r="A160" s="1"/>
      <c r="B160" s="281"/>
      <c r="C160" s="138" t="s">
        <v>70</v>
      </c>
      <c r="D160" s="91">
        <v>3754</v>
      </c>
      <c r="E160" s="301">
        <f>32.45436</f>
        <v>32.454360000000001</v>
      </c>
      <c r="F160" s="301">
        <f>535.325819999999</f>
        <v>535.325819999999</v>
      </c>
      <c r="G160" s="42">
        <f>D160-F160-F161</f>
        <v>2667.6257400000009</v>
      </c>
      <c r="H160" s="301">
        <f>392.72163</f>
        <v>392.72163</v>
      </c>
      <c r="I160" s="1"/>
      <c r="J160" s="117"/>
    </row>
    <row r="161" spans="1:10" ht="14.15" customHeight="1" x14ac:dyDescent="0.35">
      <c r="A161" s="1"/>
      <c r="B161" s="281"/>
      <c r="C161" s="133" t="s">
        <v>50</v>
      </c>
      <c r="D161" s="175"/>
      <c r="E161" s="148">
        <f>42.31128</f>
        <v>42.311279999999996</v>
      </c>
      <c r="F161" s="148">
        <f>551.04844</f>
        <v>551.04844000000003</v>
      </c>
      <c r="G161" s="219"/>
      <c r="H161" s="148">
        <f>587.99438</f>
        <v>587.99437999999998</v>
      </c>
      <c r="I161" s="1"/>
      <c r="J161" s="117"/>
    </row>
    <row r="162" spans="1:10" ht="15.65" customHeight="1" x14ac:dyDescent="0.35">
      <c r="A162" s="1"/>
      <c r="B162" s="281"/>
      <c r="C162" s="163" t="s">
        <v>71</v>
      </c>
      <c r="D162" s="95">
        <v>200</v>
      </c>
      <c r="E162" s="166">
        <f>0</f>
        <v>0</v>
      </c>
      <c r="F162" s="166">
        <f>39.71186</f>
        <v>39.711860000000001</v>
      </c>
      <c r="G162" s="166">
        <f>D162-F162</f>
        <v>160.28814</v>
      </c>
      <c r="H162" s="166">
        <f>50.83197</f>
        <v>50.831969999999998</v>
      </c>
      <c r="I162" s="1"/>
      <c r="J162" s="117"/>
    </row>
    <row r="163" spans="1:10" ht="14.15" customHeight="1" x14ac:dyDescent="0.35">
      <c r="A163" s="65"/>
      <c r="B163" s="75"/>
      <c r="C163" s="174" t="s">
        <v>72</v>
      </c>
      <c r="D163" s="175">
        <v>5630</v>
      </c>
      <c r="E163" s="175">
        <f>E164+E165+E166</f>
        <v>8.5754000000000001</v>
      </c>
      <c r="F163" s="175">
        <f>F164+F165+F166</f>
        <v>131.07050000000001</v>
      </c>
      <c r="G163" s="175">
        <f>D163-F163</f>
        <v>5498.9295000000002</v>
      </c>
      <c r="H163" s="175">
        <f>H164+H165+H166</f>
        <v>137.47631999999999</v>
      </c>
      <c r="I163" s="65"/>
      <c r="J163" s="111"/>
    </row>
    <row r="164" spans="1:10" ht="14.15" customHeight="1" x14ac:dyDescent="0.35">
      <c r="A164" s="192"/>
      <c r="B164" s="176"/>
      <c r="C164" s="177" t="s">
        <v>73</v>
      </c>
      <c r="D164" s="123"/>
      <c r="E164" s="123">
        <f>3.234</f>
        <v>3.234</v>
      </c>
      <c r="F164" s="123">
        <f>48.77128</f>
        <v>48.771279999999997</v>
      </c>
      <c r="G164" s="123"/>
      <c r="H164" s="123">
        <f>40.46078</f>
        <v>40.46078</v>
      </c>
      <c r="I164" s="181"/>
      <c r="J164" s="126"/>
    </row>
    <row r="165" spans="1:10" ht="14.15" customHeight="1" x14ac:dyDescent="0.35">
      <c r="A165" s="192"/>
      <c r="B165" s="176"/>
      <c r="C165" s="177" t="s">
        <v>74</v>
      </c>
      <c r="D165" s="123"/>
      <c r="E165" s="123">
        <f>3.1784</f>
        <v>3.1783999999999999</v>
      </c>
      <c r="F165" s="123">
        <f>54.8669</f>
        <v>54.866900000000001</v>
      </c>
      <c r="G165" s="123"/>
      <c r="H165" s="123">
        <f>50.75872</f>
        <v>50.758719999999997</v>
      </c>
      <c r="I165" s="181"/>
      <c r="J165" s="182"/>
    </row>
    <row r="166" spans="1:10" ht="14.15" customHeight="1" x14ac:dyDescent="0.35">
      <c r="A166" s="192"/>
      <c r="B166" s="176"/>
      <c r="C166" s="183" t="s">
        <v>75</v>
      </c>
      <c r="D166" s="186"/>
      <c r="E166" s="186">
        <f>2.163</f>
        <v>2.1629999999999998</v>
      </c>
      <c r="F166" s="186">
        <f>27.43232</f>
        <v>27.432320000000001</v>
      </c>
      <c r="G166" s="186"/>
      <c r="H166" s="186">
        <f>46.25682</f>
        <v>46.256819999999998</v>
      </c>
      <c r="I166" s="181"/>
      <c r="J166" s="182"/>
    </row>
    <row r="167" spans="1:10" ht="14.15" customHeight="1" x14ac:dyDescent="0.35">
      <c r="A167" s="1"/>
      <c r="B167" s="281"/>
      <c r="C167" s="70" t="s">
        <v>76</v>
      </c>
      <c r="D167" s="136">
        <v>91</v>
      </c>
      <c r="E167" s="136">
        <f>0.01</f>
        <v>0.01</v>
      </c>
      <c r="F167" s="136">
        <f>0.48596</f>
        <v>0.48596</v>
      </c>
      <c r="G167" s="136">
        <f>D167-F167</f>
        <v>90.514039999999994</v>
      </c>
      <c r="H167" s="136">
        <f>0</f>
        <v>0</v>
      </c>
      <c r="I167" s="173"/>
      <c r="J167" s="271"/>
    </row>
    <row r="168" spans="1:10" ht="16.5" customHeight="1" x14ac:dyDescent="0.35">
      <c r="A168" s="1"/>
      <c r="B168" s="281"/>
      <c r="C168" s="89" t="s">
        <v>77</v>
      </c>
      <c r="D168" s="187"/>
      <c r="E168" s="91">
        <f>0</f>
        <v>0</v>
      </c>
      <c r="F168" s="91">
        <f>0</f>
        <v>0</v>
      </c>
      <c r="G168" s="91">
        <f>D168-F168</f>
        <v>0</v>
      </c>
      <c r="H168" s="91">
        <f>0</f>
        <v>0</v>
      </c>
      <c r="I168" s="173"/>
      <c r="J168" s="271"/>
    </row>
    <row r="169" spans="1:10" ht="19.399999999999999" customHeight="1" x14ac:dyDescent="0.35">
      <c r="A169" s="152"/>
      <c r="B169" s="50"/>
      <c r="C169" s="71" t="s">
        <v>39</v>
      </c>
      <c r="D169" s="188">
        <f>D160+D162+D163+D167</f>
        <v>9675</v>
      </c>
      <c r="E169" s="188">
        <f>E160+E161+E162+E163+E167+E168</f>
        <v>83.351039999999998</v>
      </c>
      <c r="F169" s="188">
        <f>F160+F161+F162+F163+F167+F168</f>
        <v>1257.642579999999</v>
      </c>
      <c r="G169" s="188">
        <f>D169-F169</f>
        <v>8417.3574200000003</v>
      </c>
      <c r="H169" s="188">
        <f>H160+H161+H162+H163+H167+H168</f>
        <v>1169.0243</v>
      </c>
      <c r="I169" s="159"/>
      <c r="J169" s="155"/>
    </row>
    <row r="170" spans="1:10" ht="42" customHeight="1" x14ac:dyDescent="0.35">
      <c r="A170" s="1"/>
      <c r="B170" s="193"/>
      <c r="C170" s="254" t="s">
        <v>148</v>
      </c>
      <c r="D170" s="254"/>
      <c r="E170" s="254"/>
      <c r="F170" s="254"/>
      <c r="G170" s="254"/>
      <c r="H170" s="251"/>
      <c r="I170" s="251"/>
      <c r="J170" s="13"/>
    </row>
    <row r="171" spans="1:10" ht="12" customHeight="1" x14ac:dyDescent="0.35">
      <c r="A171" s="152" t="s">
        <v>108</v>
      </c>
      <c r="B171" s="189"/>
      <c r="C171" s="104"/>
      <c r="D171" s="104"/>
      <c r="E171" s="104"/>
      <c r="F171" s="104"/>
      <c r="G171" s="104"/>
      <c r="H171" s="191"/>
      <c r="I171" s="194"/>
      <c r="J171" s="195"/>
    </row>
    <row r="172" spans="1:10" ht="10.5" customHeight="1" x14ac:dyDescent="0.35">
      <c r="A172" s="145"/>
      <c r="B172" s="1"/>
      <c r="C172" s="192"/>
      <c r="D172" s="164"/>
      <c r="E172" s="164"/>
      <c r="F172" s="164"/>
      <c r="G172" s="164"/>
      <c r="H172" s="1"/>
      <c r="I172" s="1"/>
      <c r="J172" s="1"/>
    </row>
    <row r="173" spans="1:10" ht="10.5" customHeight="1" x14ac:dyDescent="0.35">
      <c r="A173" s="145" t="s">
        <v>108</v>
      </c>
      <c r="B173" s="1"/>
      <c r="C173" s="192"/>
      <c r="D173" s="164"/>
      <c r="E173" s="164"/>
      <c r="F173" s="164"/>
      <c r="G173" s="164"/>
      <c r="H173" s="1"/>
      <c r="I173" s="1"/>
      <c r="J173" s="1"/>
    </row>
    <row r="174" spans="1:10" ht="21.75" customHeight="1" x14ac:dyDescent="0.5">
      <c r="A174" s="145"/>
      <c r="B174" s="1"/>
      <c r="C174" s="213" t="s">
        <v>78</v>
      </c>
      <c r="D174" s="164"/>
      <c r="E174" s="164"/>
      <c r="F174" s="164"/>
      <c r="G174" s="164"/>
      <c r="H174" s="1"/>
      <c r="I174" s="1"/>
      <c r="J174" s="1"/>
    </row>
    <row r="175" spans="1:10" ht="21.75" customHeight="1" x14ac:dyDescent="0.5">
      <c r="A175" s="145" t="s">
        <v>108</v>
      </c>
      <c r="B175" s="1"/>
      <c r="C175" s="213"/>
      <c r="D175" s="164"/>
      <c r="E175" s="164"/>
      <c r="F175" s="164"/>
      <c r="G175" s="164"/>
      <c r="H175" s="1"/>
      <c r="I175" s="1"/>
      <c r="J175" s="1"/>
    </row>
    <row r="176" spans="1:10" ht="12" customHeight="1" x14ac:dyDescent="0.35">
      <c r="A176" s="145"/>
      <c r="B176" s="134"/>
      <c r="C176" s="253"/>
      <c r="D176" s="264"/>
      <c r="E176" s="264"/>
      <c r="F176" s="264"/>
      <c r="G176" s="264"/>
      <c r="H176" s="150"/>
      <c r="I176" s="150"/>
      <c r="J176" s="158"/>
    </row>
    <row r="177" spans="1:10" ht="15" customHeight="1" x14ac:dyDescent="0.35">
      <c r="A177" s="145"/>
      <c r="B177" s="281"/>
      <c r="C177" s="144" t="s">
        <v>1</v>
      </c>
      <c r="D177" s="180"/>
      <c r="E177" s="145"/>
      <c r="F177" s="145"/>
      <c r="G177" s="164"/>
      <c r="H177" s="1"/>
      <c r="I177" s="1"/>
      <c r="J177" s="117"/>
    </row>
    <row r="178" spans="1:10" ht="15" customHeight="1" x14ac:dyDescent="0.35">
      <c r="A178" s="145"/>
      <c r="B178" s="281"/>
      <c r="C178" s="285" t="s">
        <v>79</v>
      </c>
      <c r="D178" s="296">
        <v>45707</v>
      </c>
      <c r="E178" s="145"/>
      <c r="F178" s="145"/>
      <c r="G178" s="164"/>
      <c r="H178" s="1"/>
      <c r="I178" s="1"/>
      <c r="J178" s="117"/>
    </row>
    <row r="179" spans="1:10" ht="15" customHeight="1" x14ac:dyDescent="0.35">
      <c r="A179" s="145"/>
      <c r="B179" s="281"/>
      <c r="C179" s="275" t="s">
        <v>80</v>
      </c>
      <c r="D179" s="46">
        <v>15552</v>
      </c>
      <c r="E179" s="145"/>
      <c r="F179" s="145"/>
      <c r="G179" s="164"/>
      <c r="H179" s="1"/>
      <c r="I179" s="1"/>
      <c r="J179" s="117"/>
    </row>
    <row r="180" spans="1:10" ht="18" customHeight="1" x14ac:dyDescent="0.35">
      <c r="A180" s="145"/>
      <c r="B180" s="281"/>
      <c r="C180" s="275" t="s">
        <v>81</v>
      </c>
      <c r="D180" s="46">
        <v>6918</v>
      </c>
      <c r="E180" s="145"/>
      <c r="F180" s="145"/>
      <c r="G180" s="164"/>
      <c r="H180" s="1"/>
      <c r="I180" s="1"/>
      <c r="J180" s="117"/>
    </row>
    <row r="181" spans="1:10" ht="11.25" customHeight="1" x14ac:dyDescent="0.35">
      <c r="A181" s="145"/>
      <c r="B181" s="281"/>
      <c r="C181" s="57" t="s">
        <v>46</v>
      </c>
      <c r="D181" s="35">
        <v>69177</v>
      </c>
      <c r="E181" s="145"/>
      <c r="F181" s="145"/>
      <c r="G181" s="164"/>
      <c r="H181" s="1"/>
      <c r="I181" s="1"/>
      <c r="J181" s="117"/>
    </row>
    <row r="182" spans="1:10" ht="12" customHeight="1" x14ac:dyDescent="0.35">
      <c r="A182" s="1"/>
      <c r="B182" s="281"/>
      <c r="C182" s="101" t="s">
        <v>149</v>
      </c>
      <c r="D182" s="164"/>
      <c r="E182" s="164"/>
      <c r="F182" s="164"/>
      <c r="G182" s="164"/>
      <c r="H182" s="1"/>
      <c r="I182" s="1"/>
      <c r="J182" s="117"/>
    </row>
    <row r="183" spans="1:10" ht="10.5" customHeight="1" x14ac:dyDescent="0.35">
      <c r="A183" s="1"/>
      <c r="B183" s="281"/>
      <c r="C183" s="101" t="s">
        <v>150</v>
      </c>
      <c r="D183" s="164"/>
      <c r="E183" s="164"/>
      <c r="F183" s="164"/>
      <c r="G183" s="164"/>
      <c r="H183" s="1"/>
      <c r="I183" s="1"/>
      <c r="J183" s="117"/>
    </row>
    <row r="184" spans="1:10" ht="12" customHeight="1" x14ac:dyDescent="0.35">
      <c r="A184" s="1"/>
      <c r="B184" s="281"/>
      <c r="C184" s="101" t="s">
        <v>151</v>
      </c>
      <c r="D184" s="164"/>
      <c r="E184" s="164"/>
      <c r="F184" s="164"/>
      <c r="G184" s="164"/>
      <c r="H184" s="1"/>
      <c r="I184" s="1"/>
      <c r="J184" s="117"/>
    </row>
    <row r="185" spans="1:10" ht="12" customHeight="1" x14ac:dyDescent="0.35">
      <c r="A185" s="1"/>
      <c r="B185" s="268"/>
      <c r="C185" s="293"/>
      <c r="D185" s="154"/>
      <c r="E185" s="154"/>
      <c r="F185" s="293"/>
      <c r="G185" s="293"/>
      <c r="H185" s="293"/>
      <c r="I185" s="260"/>
      <c r="J185" s="272"/>
    </row>
    <row r="186" spans="1:10" ht="23.25" customHeight="1" x14ac:dyDescent="0.35">
      <c r="A186" s="1"/>
      <c r="B186" s="281"/>
      <c r="C186" s="17" t="s">
        <v>15</v>
      </c>
      <c r="D186" s="164"/>
      <c r="E186" s="164"/>
      <c r="F186" s="164"/>
      <c r="G186" s="1"/>
      <c r="H186" s="1"/>
      <c r="I186" s="1"/>
      <c r="J186" s="117"/>
    </row>
    <row r="187" spans="1:10" ht="15" customHeight="1" x14ac:dyDescent="0.35">
      <c r="A187" s="1"/>
      <c r="B187" s="281"/>
      <c r="C187" s="101"/>
      <c r="D187" s="164"/>
      <c r="E187" s="164"/>
      <c r="F187" s="164"/>
      <c r="G187" s="164"/>
      <c r="H187" s="1"/>
      <c r="I187" s="1"/>
      <c r="J187" s="117"/>
    </row>
    <row r="188" spans="1:10" ht="48.75" customHeight="1" x14ac:dyDescent="0.35">
      <c r="A188" s="1"/>
      <c r="B188" s="281"/>
      <c r="C188" s="68" t="s">
        <v>16</v>
      </c>
      <c r="D188" s="210" t="s">
        <v>2</v>
      </c>
      <c r="E188" s="14" t="s">
        <v>122</v>
      </c>
      <c r="F188" s="68" t="s">
        <v>161</v>
      </c>
      <c r="G188" s="68" t="s">
        <v>162</v>
      </c>
      <c r="H188" s="68" t="s">
        <v>163</v>
      </c>
      <c r="I188" s="68" t="s">
        <v>164</v>
      </c>
      <c r="J188" s="117"/>
    </row>
    <row r="189" spans="1:10" ht="15" customHeight="1" x14ac:dyDescent="0.35">
      <c r="A189" s="1"/>
      <c r="B189" s="281"/>
      <c r="C189" s="90" t="s">
        <v>4</v>
      </c>
      <c r="D189" s="124">
        <v>45561</v>
      </c>
      <c r="E189" s="124">
        <v>42740</v>
      </c>
      <c r="F189" s="124">
        <f>47.1587</f>
        <v>47.158700000000003</v>
      </c>
      <c r="G189" s="124">
        <f>15251.95683</f>
        <v>15251.956829999999</v>
      </c>
      <c r="H189" s="124">
        <f>E189-G189</f>
        <v>27488.043170000001</v>
      </c>
      <c r="I189" s="124">
        <f>17512.9212</f>
        <v>17512.921200000001</v>
      </c>
      <c r="J189" s="117"/>
    </row>
    <row r="190" spans="1:10" ht="15" customHeight="1" x14ac:dyDescent="0.35">
      <c r="A190" s="1"/>
      <c r="B190" s="281"/>
      <c r="C190" s="90" t="s">
        <v>63</v>
      </c>
      <c r="D190" s="124">
        <v>100</v>
      </c>
      <c r="E190" s="124">
        <v>100</v>
      </c>
      <c r="F190" s="124">
        <f>0.029</f>
        <v>2.9000000000000001E-2</v>
      </c>
      <c r="G190" s="124">
        <f>5.00462</f>
        <v>5.0046200000000001</v>
      </c>
      <c r="H190" s="124">
        <f>E190-G190</f>
        <v>94.995379999999997</v>
      </c>
      <c r="I190" s="124">
        <f>11.23434</f>
        <v>11.23434</v>
      </c>
      <c r="J190" s="117"/>
    </row>
    <row r="191" spans="1:10" ht="15.75" customHeight="1" x14ac:dyDescent="0.35">
      <c r="A191" s="1"/>
      <c r="B191" s="281"/>
      <c r="C191" s="146" t="s">
        <v>76</v>
      </c>
      <c r="D191" s="168">
        <v>46</v>
      </c>
      <c r="E191" s="168">
        <v>46</v>
      </c>
      <c r="F191" s="136">
        <f>0</f>
        <v>0</v>
      </c>
      <c r="G191" s="136">
        <f>0</f>
        <v>0</v>
      </c>
      <c r="H191" s="136">
        <f>E191-G191</f>
        <v>46</v>
      </c>
      <c r="I191" s="136">
        <f>0</f>
        <v>0</v>
      </c>
      <c r="J191" s="117"/>
    </row>
    <row r="192" spans="1:10" ht="16.5" customHeight="1" x14ac:dyDescent="0.35">
      <c r="A192" s="1"/>
      <c r="B192" s="281"/>
      <c r="C192" s="179" t="s">
        <v>82</v>
      </c>
      <c r="D192" s="190">
        <f>SUM(D189:D191)</f>
        <v>45707</v>
      </c>
      <c r="E192" s="190">
        <f>SUM(E189:E191)</f>
        <v>42886</v>
      </c>
      <c r="F192" s="190">
        <f>SUM(F189:F191)</f>
        <v>47.187700000000007</v>
      </c>
      <c r="G192" s="190">
        <f>SUM(G189:G191)</f>
        <v>15256.961449999999</v>
      </c>
      <c r="H192" s="190">
        <f>E192-G192</f>
        <v>27629.038550000001</v>
      </c>
      <c r="I192" s="190">
        <f>SUM(I189:I191)</f>
        <v>17524.15554</v>
      </c>
      <c r="J192" s="117"/>
    </row>
    <row r="193" spans="1:10" ht="12" customHeight="1" x14ac:dyDescent="0.35">
      <c r="A193" s="1"/>
      <c r="B193" s="281"/>
      <c r="C193" s="101" t="s">
        <v>83</v>
      </c>
      <c r="D193" s="164"/>
      <c r="E193" s="164"/>
      <c r="F193" s="164"/>
      <c r="G193" s="164"/>
      <c r="H193" s="1"/>
      <c r="I193" s="1"/>
      <c r="J193" s="117"/>
    </row>
    <row r="194" spans="1:10" ht="15.75" customHeight="1" x14ac:dyDescent="0.35">
      <c r="A194" s="1"/>
      <c r="B194" s="160"/>
      <c r="C194" s="243" t="s">
        <v>152</v>
      </c>
      <c r="D194" s="104"/>
      <c r="E194" s="104"/>
      <c r="F194" s="207"/>
      <c r="G194" s="207"/>
      <c r="H194" s="207"/>
      <c r="I194" s="207"/>
      <c r="J194" s="214"/>
    </row>
    <row r="195" spans="1:10" ht="16.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21.75" customHeight="1" x14ac:dyDescent="0.5">
      <c r="A196" s="145"/>
      <c r="B196" s="1"/>
      <c r="C196" s="213" t="s">
        <v>109</v>
      </c>
      <c r="D196" s="164"/>
      <c r="E196" s="164"/>
      <c r="F196" s="164"/>
      <c r="G196" s="164"/>
      <c r="H196" s="1"/>
      <c r="I196" s="1"/>
      <c r="J196" s="1"/>
    </row>
    <row r="197" spans="1:10" ht="21.75" customHeight="1" x14ac:dyDescent="0.5">
      <c r="A197" s="145" t="s">
        <v>108</v>
      </c>
      <c r="B197" s="1"/>
      <c r="C197" s="213"/>
      <c r="D197" s="164"/>
      <c r="E197" s="164"/>
      <c r="F197" s="164"/>
      <c r="G197" s="164"/>
      <c r="H197" s="1"/>
      <c r="I197" s="1"/>
      <c r="J197" s="1"/>
    </row>
    <row r="198" spans="1:10" ht="12" customHeight="1" x14ac:dyDescent="0.35">
      <c r="A198" s="145"/>
      <c r="B198" s="134"/>
      <c r="C198" s="253"/>
      <c r="D198" s="264"/>
      <c r="E198" s="264"/>
      <c r="F198" s="264"/>
      <c r="G198" s="264"/>
      <c r="H198" s="150"/>
      <c r="I198" s="150"/>
      <c r="J198" s="158"/>
    </row>
    <row r="199" spans="1:10" ht="23.25" customHeight="1" x14ac:dyDescent="0.35">
      <c r="A199" s="1"/>
      <c r="B199" s="281"/>
      <c r="C199" s="17" t="s">
        <v>15</v>
      </c>
      <c r="D199" s="164"/>
      <c r="E199" s="164"/>
      <c r="F199" s="164"/>
      <c r="G199" s="1"/>
      <c r="H199" s="1"/>
      <c r="I199" s="1"/>
      <c r="J199" s="117"/>
    </row>
    <row r="200" spans="1:10" ht="15" customHeight="1" x14ac:dyDescent="0.35">
      <c r="A200" s="1"/>
      <c r="B200" s="281"/>
      <c r="C200" s="101"/>
      <c r="D200" s="164"/>
      <c r="E200" s="164"/>
      <c r="F200" s="164"/>
      <c r="G200" s="164"/>
      <c r="H200" s="1"/>
      <c r="I200" s="1"/>
      <c r="J200" s="117"/>
    </row>
    <row r="201" spans="1:10" ht="48.75" customHeight="1" x14ac:dyDescent="0.35">
      <c r="A201" s="1"/>
      <c r="B201" s="281"/>
      <c r="C201" s="68" t="s">
        <v>16</v>
      </c>
      <c r="D201" s="79" t="s">
        <v>2</v>
      </c>
      <c r="E201" s="68" t="s">
        <v>161</v>
      </c>
      <c r="F201" s="68" t="s">
        <v>162</v>
      </c>
      <c r="G201" s="68" t="s">
        <v>163</v>
      </c>
      <c r="H201" s="68" t="s">
        <v>164</v>
      </c>
      <c r="I201" s="1"/>
      <c r="J201" s="117"/>
    </row>
    <row r="202" spans="1:10" ht="15" customHeight="1" x14ac:dyDescent="0.35">
      <c r="A202" s="1"/>
      <c r="B202" s="281"/>
      <c r="C202" s="90" t="s">
        <v>112</v>
      </c>
      <c r="D202" s="124">
        <v>3202</v>
      </c>
      <c r="E202" s="72">
        <f>E203+E204</f>
        <v>20.470119999999998</v>
      </c>
      <c r="F202" s="72">
        <f>F203+F204</f>
        <v>2258.356139999999</v>
      </c>
      <c r="G202" s="72">
        <f>D202-F202</f>
        <v>943.64386000000104</v>
      </c>
      <c r="H202" s="72">
        <f>H203+H204</f>
        <v>1995.93174</v>
      </c>
      <c r="I202" s="275"/>
      <c r="J202" s="117"/>
    </row>
    <row r="203" spans="1:10" ht="15" customHeight="1" x14ac:dyDescent="0.35">
      <c r="A203" s="1"/>
      <c r="B203" s="281"/>
      <c r="C203" s="172" t="s">
        <v>8</v>
      </c>
      <c r="D203" s="124"/>
      <c r="E203" s="72">
        <f>4.6766</f>
        <v>4.6765999999999996</v>
      </c>
      <c r="F203" s="72">
        <f>1735.9537</f>
        <v>1735.9537</v>
      </c>
      <c r="G203" s="72"/>
      <c r="H203" s="72">
        <f>1495.75693</f>
        <v>1495.75693</v>
      </c>
      <c r="I203" s="275"/>
      <c r="J203" s="117"/>
    </row>
    <row r="204" spans="1:10" ht="15" customHeight="1" x14ac:dyDescent="0.35">
      <c r="A204" s="1"/>
      <c r="B204" s="281"/>
      <c r="C204" s="172" t="s">
        <v>63</v>
      </c>
      <c r="D204" s="124"/>
      <c r="E204" s="124">
        <f>15.79352</f>
        <v>15.793519999999999</v>
      </c>
      <c r="F204" s="124">
        <f>522.402439999999</f>
        <v>522.40243999999905</v>
      </c>
      <c r="G204" s="168"/>
      <c r="H204" s="124">
        <f>500.17481</f>
        <v>500.17480999999998</v>
      </c>
      <c r="I204" s="275"/>
      <c r="J204" s="117"/>
    </row>
    <row r="205" spans="1:10" ht="15" customHeight="1" x14ac:dyDescent="0.35">
      <c r="A205" s="1"/>
      <c r="B205" s="281"/>
      <c r="C205" s="90" t="s">
        <v>113</v>
      </c>
      <c r="D205" s="124">
        <v>3704</v>
      </c>
      <c r="E205" s="72">
        <f>106.70856</f>
        <v>106.70856000000001</v>
      </c>
      <c r="F205" s="72">
        <f>2170.17114</f>
        <v>2170.1711399999999</v>
      </c>
      <c r="G205" s="72">
        <f>D205-F205</f>
        <v>1533.8288600000001</v>
      </c>
      <c r="H205" s="72">
        <f>2767.21795</f>
        <v>2767.2179500000002</v>
      </c>
      <c r="I205" s="275"/>
      <c r="J205" s="117"/>
    </row>
    <row r="206" spans="1:10" ht="16.5" customHeight="1" x14ac:dyDescent="0.35">
      <c r="A206" s="1"/>
      <c r="B206" s="281"/>
      <c r="C206" s="179" t="s">
        <v>82</v>
      </c>
      <c r="D206" s="190">
        <f>D205+D202</f>
        <v>6906</v>
      </c>
      <c r="E206" s="190">
        <f>SUM(E202,E205)</f>
        <v>127.17868</v>
      </c>
      <c r="F206" s="190">
        <f>SUM(F202,F205)</f>
        <v>4428.5272799999984</v>
      </c>
      <c r="G206" s="190">
        <f>D206-F206</f>
        <v>2477.4727200000016</v>
      </c>
      <c r="H206" s="190">
        <f>SUM(H202,H205)</f>
        <v>4763.1496900000002</v>
      </c>
      <c r="I206" s="275"/>
      <c r="J206" s="117"/>
    </row>
    <row r="207" spans="1:10" ht="19.5" customHeight="1" x14ac:dyDescent="0.35">
      <c r="A207" s="1"/>
      <c r="B207" s="160"/>
      <c r="C207" s="201"/>
      <c r="D207" s="104"/>
      <c r="E207" s="104"/>
      <c r="F207" s="207"/>
      <c r="G207" s="207"/>
      <c r="H207" s="207"/>
      <c r="I207" s="207"/>
      <c r="J207" s="214"/>
    </row>
    <row r="208" spans="1:10" ht="16.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21.75" customHeight="1" x14ac:dyDescent="0.5">
      <c r="A209" s="145"/>
      <c r="B209" s="1"/>
      <c r="C209" s="213" t="s">
        <v>110</v>
      </c>
      <c r="D209" s="164"/>
      <c r="E209" s="164"/>
      <c r="F209" s="164"/>
      <c r="G209" s="164"/>
      <c r="H209" s="1"/>
      <c r="I209" s="1"/>
      <c r="J209" s="1"/>
    </row>
    <row r="210" spans="1:10" ht="21.75" customHeight="1" x14ac:dyDescent="0.5">
      <c r="A210" s="145" t="s">
        <v>108</v>
      </c>
      <c r="B210" s="1"/>
      <c r="C210" s="213"/>
      <c r="D210" s="164"/>
      <c r="E210" s="164"/>
      <c r="F210" s="164"/>
      <c r="G210" s="164"/>
      <c r="H210" s="1"/>
      <c r="I210" s="1"/>
      <c r="J210" s="1"/>
    </row>
    <row r="211" spans="1:10" ht="12" customHeight="1" x14ac:dyDescent="0.35">
      <c r="A211" s="145"/>
      <c r="B211" s="134"/>
      <c r="C211" s="253"/>
      <c r="D211" s="264"/>
      <c r="E211" s="264"/>
      <c r="F211" s="264"/>
      <c r="G211" s="264"/>
      <c r="H211" s="150"/>
      <c r="I211" s="150"/>
      <c r="J211" s="158"/>
    </row>
    <row r="212" spans="1:10" ht="23.25" customHeight="1" x14ac:dyDescent="0.35">
      <c r="A212" s="1"/>
      <c r="B212" s="281"/>
      <c r="C212" s="17" t="s">
        <v>15</v>
      </c>
      <c r="D212" s="164"/>
      <c r="E212" s="164"/>
      <c r="F212" s="164"/>
      <c r="G212" s="1"/>
      <c r="H212" s="1"/>
      <c r="I212" s="1"/>
      <c r="J212" s="117"/>
    </row>
    <row r="213" spans="1:10" ht="15" customHeight="1" x14ac:dyDescent="0.35">
      <c r="A213" s="1"/>
      <c r="B213" s="281"/>
      <c r="C213" s="101"/>
      <c r="D213" s="164"/>
      <c r="E213" s="164"/>
      <c r="F213" s="164"/>
      <c r="G213" s="164"/>
      <c r="H213" s="1"/>
      <c r="I213" s="1"/>
      <c r="J213" s="117"/>
    </row>
    <row r="214" spans="1:10" ht="48.75" customHeight="1" x14ac:dyDescent="0.35">
      <c r="A214" s="1"/>
      <c r="B214" s="281"/>
      <c r="C214" s="68" t="s">
        <v>16</v>
      </c>
      <c r="D214" s="79" t="s">
        <v>2</v>
      </c>
      <c r="E214" s="68" t="s">
        <v>161</v>
      </c>
      <c r="F214" s="68" t="s">
        <v>162</v>
      </c>
      <c r="G214" s="68" t="s">
        <v>163</v>
      </c>
      <c r="H214" s="68" t="s">
        <v>164</v>
      </c>
      <c r="I214" s="1"/>
      <c r="J214" s="117"/>
    </row>
    <row r="215" spans="1:10" ht="15" customHeight="1" x14ac:dyDescent="0.35">
      <c r="A215" s="1"/>
      <c r="B215" s="281"/>
      <c r="C215" s="90" t="s">
        <v>112</v>
      </c>
      <c r="D215" s="124">
        <v>5516</v>
      </c>
      <c r="E215" s="72">
        <f>E216+E217</f>
        <v>45.033739999999995</v>
      </c>
      <c r="F215" s="72">
        <f>F216+F217</f>
        <v>3071.376369999999</v>
      </c>
      <c r="G215" s="72">
        <f>D215-F215</f>
        <v>2444.623630000001</v>
      </c>
      <c r="H215" s="72">
        <f>H216+H217</f>
        <v>1993.82736</v>
      </c>
      <c r="I215" s="275"/>
      <c r="J215" s="117"/>
    </row>
    <row r="216" spans="1:10" ht="15" customHeight="1" x14ac:dyDescent="0.35">
      <c r="A216" s="1"/>
      <c r="B216" s="281"/>
      <c r="C216" s="172" t="s">
        <v>8</v>
      </c>
      <c r="D216" s="124"/>
      <c r="E216" s="72">
        <f>35.657</f>
        <v>35.656999999999996</v>
      </c>
      <c r="F216" s="72">
        <f>2741.61812</f>
        <v>2741.6181200000001</v>
      </c>
      <c r="G216" s="72"/>
      <c r="H216" s="72">
        <f>1722.30316</f>
        <v>1722.3031599999999</v>
      </c>
      <c r="I216" s="275"/>
      <c r="J216" s="117"/>
    </row>
    <row r="217" spans="1:10" ht="15" customHeight="1" x14ac:dyDescent="0.35">
      <c r="A217" s="1"/>
      <c r="B217" s="281"/>
      <c r="C217" s="172" t="s">
        <v>63</v>
      </c>
      <c r="D217" s="124"/>
      <c r="E217" s="124">
        <f>9.37674</f>
        <v>9.3767399999999999</v>
      </c>
      <c r="F217" s="124">
        <f>329.758249999999</f>
        <v>329.75824999999901</v>
      </c>
      <c r="G217" s="168"/>
      <c r="H217" s="124">
        <f>271.5242</f>
        <v>271.52420000000001</v>
      </c>
      <c r="I217" s="275"/>
      <c r="J217" s="117"/>
    </row>
    <row r="218" spans="1:10" ht="15" customHeight="1" x14ac:dyDescent="0.35">
      <c r="A218" s="1"/>
      <c r="B218" s="281"/>
      <c r="C218" s="90" t="s">
        <v>113</v>
      </c>
      <c r="D218" s="124">
        <v>3232</v>
      </c>
      <c r="E218" s="72">
        <f>63.4218</f>
        <v>63.421799999999998</v>
      </c>
      <c r="F218" s="72">
        <f>1716.57341</f>
        <v>1716.57341</v>
      </c>
      <c r="G218" s="72">
        <f>D218-F218</f>
        <v>1515.42659</v>
      </c>
      <c r="H218" s="72">
        <f>1291.39271000001</f>
        <v>1291.3927100000101</v>
      </c>
      <c r="I218" s="275"/>
      <c r="J218" s="117"/>
    </row>
    <row r="219" spans="1:10" ht="16.5" customHeight="1" x14ac:dyDescent="0.35">
      <c r="A219" s="1"/>
      <c r="B219" s="281"/>
      <c r="C219" s="179" t="s">
        <v>82</v>
      </c>
      <c r="D219" s="190">
        <f>D218+D215</f>
        <v>8748</v>
      </c>
      <c r="E219" s="190">
        <f>SUM(E215,E218)</f>
        <v>108.45553999999998</v>
      </c>
      <c r="F219" s="190">
        <f>SUM(F215,F218)</f>
        <v>4787.949779999999</v>
      </c>
      <c r="G219" s="190">
        <f>D219-F219</f>
        <v>3960.050220000001</v>
      </c>
      <c r="H219" s="190">
        <f>SUM(H215,H218)</f>
        <v>3285.2200700000103</v>
      </c>
      <c r="I219" s="275"/>
      <c r="J219" s="117"/>
    </row>
    <row r="220" spans="1:10" ht="19.5" customHeight="1" x14ac:dyDescent="0.35">
      <c r="A220" s="1"/>
      <c r="B220" s="160"/>
      <c r="C220" s="201"/>
      <c r="D220" s="104"/>
      <c r="E220" s="104"/>
      <c r="F220" s="207"/>
      <c r="G220" s="207"/>
      <c r="H220" s="207"/>
      <c r="I220" s="207"/>
      <c r="J220" s="214"/>
    </row>
    <row r="221" spans="1:10" ht="1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30" customHeight="1" x14ac:dyDescent="0.35">
      <c r="A222" s="223"/>
      <c r="B222" s="223"/>
      <c r="C222" s="233" t="s">
        <v>84</v>
      </c>
      <c r="D222" s="223"/>
      <c r="E222" s="223"/>
      <c r="F222" s="223"/>
      <c r="G222" s="223"/>
      <c r="H222" s="223"/>
      <c r="I222" s="223"/>
      <c r="J222" s="251"/>
    </row>
    <row r="223" spans="1:10" ht="21.75" customHeight="1" x14ac:dyDescent="0.35">
      <c r="A223" s="223" t="s">
        <v>108</v>
      </c>
      <c r="B223" s="223"/>
      <c r="C223" s="233"/>
      <c r="D223" s="223"/>
      <c r="E223" s="223"/>
      <c r="F223" s="223"/>
      <c r="G223" s="223"/>
      <c r="H223" s="223"/>
      <c r="I223" s="223"/>
      <c r="J223" s="251"/>
    </row>
    <row r="224" spans="1:10" ht="14.15" customHeight="1" x14ac:dyDescent="0.35">
      <c r="A224" s="1"/>
      <c r="B224" s="132"/>
      <c r="C224" s="169"/>
      <c r="D224" s="169"/>
      <c r="E224" s="169"/>
      <c r="F224" s="169"/>
      <c r="G224" s="169"/>
      <c r="H224" s="169"/>
      <c r="I224" s="169"/>
      <c r="J224" s="158"/>
    </row>
    <row r="225" spans="1:10" ht="14.15" customHeight="1" x14ac:dyDescent="0.35">
      <c r="A225" s="152"/>
      <c r="B225" s="50"/>
      <c r="C225" s="144" t="s">
        <v>1</v>
      </c>
      <c r="D225" s="180"/>
      <c r="E225" s="145"/>
      <c r="F225" s="145"/>
      <c r="G225" s="152"/>
      <c r="H225" s="152"/>
      <c r="I225" s="152"/>
      <c r="J225" s="117"/>
    </row>
    <row r="226" spans="1:10" ht="14.15" customHeight="1" x14ac:dyDescent="0.35">
      <c r="A226" s="1"/>
      <c r="B226" s="281"/>
      <c r="C226" s="285" t="s">
        <v>79</v>
      </c>
      <c r="D226" s="245">
        <v>1516</v>
      </c>
      <c r="E226" s="145"/>
      <c r="F226" s="252"/>
      <c r="G226" s="1"/>
      <c r="H226" s="1"/>
      <c r="I226" s="1"/>
      <c r="J226" s="117"/>
    </row>
    <row r="227" spans="1:10" ht="14.15" customHeight="1" x14ac:dyDescent="0.35">
      <c r="A227" s="1"/>
      <c r="B227" s="281"/>
      <c r="C227" s="275" t="s">
        <v>85</v>
      </c>
      <c r="D227" s="245">
        <v>5282</v>
      </c>
      <c r="E227" s="145"/>
      <c r="F227" s="252"/>
      <c r="G227" s="1"/>
      <c r="H227" s="1"/>
      <c r="I227" s="1"/>
      <c r="J227" s="117"/>
    </row>
    <row r="228" spans="1:10" ht="14.15" customHeight="1" x14ac:dyDescent="0.35">
      <c r="A228" s="1"/>
      <c r="B228" s="281"/>
      <c r="C228" s="275" t="s">
        <v>86</v>
      </c>
      <c r="D228" s="245">
        <v>3984</v>
      </c>
      <c r="E228" s="145"/>
      <c r="F228" s="252"/>
      <c r="G228" s="1"/>
      <c r="H228" s="1"/>
      <c r="I228" s="1"/>
      <c r="J228" s="117"/>
    </row>
    <row r="229" spans="1:10" ht="13.5" customHeight="1" x14ac:dyDescent="0.35">
      <c r="A229" s="1"/>
      <c r="B229" s="281"/>
      <c r="C229" s="275" t="s">
        <v>114</v>
      </c>
      <c r="D229" s="246">
        <v>382</v>
      </c>
      <c r="E229" s="145"/>
      <c r="F229" s="252"/>
      <c r="G229" s="1"/>
      <c r="H229" s="1"/>
      <c r="I229" s="1"/>
      <c r="J229" s="117"/>
    </row>
    <row r="230" spans="1:10" ht="14.25" customHeight="1" x14ac:dyDescent="0.35">
      <c r="A230" s="1"/>
      <c r="B230" s="281"/>
      <c r="C230" s="57" t="s">
        <v>46</v>
      </c>
      <c r="D230" s="247">
        <v>11164</v>
      </c>
      <c r="E230" s="145"/>
      <c r="F230" s="145"/>
      <c r="G230" s="1"/>
      <c r="H230" s="1"/>
      <c r="I230" s="1"/>
      <c r="J230" s="117"/>
    </row>
    <row r="231" spans="1:10" ht="14.15" customHeight="1" x14ac:dyDescent="0.35">
      <c r="A231" s="1"/>
      <c r="B231" s="281"/>
      <c r="C231" s="255" t="s">
        <v>87</v>
      </c>
      <c r="D231" s="256"/>
      <c r="E231" s="173"/>
      <c r="F231" s="173"/>
      <c r="G231" s="1"/>
      <c r="H231" s="1"/>
      <c r="I231" s="1"/>
      <c r="J231" s="117"/>
    </row>
    <row r="232" spans="1:10" ht="15" customHeight="1" x14ac:dyDescent="0.35">
      <c r="A232" s="1"/>
      <c r="B232" s="281"/>
      <c r="C232" s="101" t="s">
        <v>97</v>
      </c>
      <c r="D232" s="257"/>
      <c r="E232" s="1"/>
      <c r="F232" s="1"/>
      <c r="G232" s="1"/>
      <c r="H232" s="1"/>
      <c r="I232" s="1"/>
      <c r="J232" s="117"/>
    </row>
    <row r="233" spans="1:10" ht="14.25" customHeight="1" x14ac:dyDescent="0.35">
      <c r="A233" s="1"/>
      <c r="B233" s="281"/>
      <c r="C233" s="101"/>
      <c r="D233" s="1"/>
      <c r="E233" s="1"/>
      <c r="F233" s="1"/>
      <c r="G233" s="1"/>
      <c r="H233" s="1"/>
      <c r="I233" s="1"/>
      <c r="J233" s="117"/>
    </row>
    <row r="234" spans="1:10" ht="23.25" customHeight="1" x14ac:dyDescent="0.35">
      <c r="A234" s="1"/>
      <c r="B234" s="258"/>
      <c r="C234" s="261" t="s">
        <v>15</v>
      </c>
      <c r="D234" s="261"/>
      <c r="E234" s="261"/>
      <c r="F234" s="261"/>
      <c r="G234" s="261"/>
      <c r="H234" s="261"/>
      <c r="I234" s="261"/>
      <c r="J234" s="265"/>
    </row>
    <row r="235" spans="1:10" ht="14.15" customHeight="1" x14ac:dyDescent="0.35">
      <c r="A235" s="1"/>
      <c r="B235" s="267"/>
      <c r="C235" s="269"/>
      <c r="D235" s="269"/>
      <c r="E235" s="269"/>
      <c r="F235" s="269"/>
      <c r="G235" s="269"/>
      <c r="H235" s="269"/>
      <c r="I235" s="269"/>
      <c r="J235" s="117"/>
    </row>
    <row r="236" spans="1:10" ht="54" customHeight="1" x14ac:dyDescent="0.35">
      <c r="A236" s="1"/>
      <c r="B236" s="281"/>
      <c r="C236" s="68" t="s">
        <v>16</v>
      </c>
      <c r="D236" s="270" t="s">
        <v>2</v>
      </c>
      <c r="E236" s="68" t="s">
        <v>161</v>
      </c>
      <c r="F236" s="68" t="s">
        <v>162</v>
      </c>
      <c r="G236" s="68" t="s">
        <v>163</v>
      </c>
      <c r="H236" s="68" t="s">
        <v>164</v>
      </c>
      <c r="I236" s="1"/>
      <c r="J236" s="111"/>
    </row>
    <row r="237" spans="1:10" ht="14.15" customHeight="1" x14ac:dyDescent="0.35">
      <c r="A237" s="65"/>
      <c r="B237" s="75"/>
      <c r="C237" s="90" t="s">
        <v>88</v>
      </c>
      <c r="D237" s="124">
        <v>800</v>
      </c>
      <c r="E237" s="124">
        <f>5.7879</f>
        <v>5.7878999999999996</v>
      </c>
      <c r="F237" s="124">
        <f>70.5135100000001</f>
        <v>70.513510000000096</v>
      </c>
      <c r="G237" s="124">
        <f>D237-F237</f>
        <v>729.48648999999989</v>
      </c>
      <c r="H237" s="124">
        <f>175.79165</f>
        <v>175.79165</v>
      </c>
      <c r="I237" s="65"/>
      <c r="J237" s="271"/>
    </row>
    <row r="238" spans="1:10" ht="14.15" customHeight="1" x14ac:dyDescent="0.35">
      <c r="A238" s="1"/>
      <c r="B238" s="281"/>
      <c r="C238" s="90" t="s">
        <v>89</v>
      </c>
      <c r="D238" s="273">
        <v>706</v>
      </c>
      <c r="E238" s="124">
        <f>5.34432</f>
        <v>5.3443199999999997</v>
      </c>
      <c r="F238" s="124">
        <f>190.268829999999</f>
        <v>190.26882999999901</v>
      </c>
      <c r="G238" s="124">
        <f>D238-F238</f>
        <v>515.73117000000093</v>
      </c>
      <c r="H238" s="124">
        <f>321.895359999999</f>
        <v>321.89535999999902</v>
      </c>
      <c r="I238" s="173"/>
      <c r="J238" s="111"/>
    </row>
    <row r="239" spans="1:10" ht="16.5" customHeight="1" x14ac:dyDescent="0.35">
      <c r="A239" s="65"/>
      <c r="B239" s="75"/>
      <c r="C239" s="146" t="s">
        <v>76</v>
      </c>
      <c r="D239" s="273">
        <v>10</v>
      </c>
      <c r="E239" s="168">
        <f>0</f>
        <v>0</v>
      </c>
      <c r="F239" s="168">
        <f>0.045</f>
        <v>4.4999999999999998E-2</v>
      </c>
      <c r="G239" s="124">
        <f>D239-F239</f>
        <v>9.9550000000000001</v>
      </c>
      <c r="H239" s="168">
        <f>0.05414</f>
        <v>5.4140000000000001E-2</v>
      </c>
      <c r="I239" s="65"/>
      <c r="J239" s="276"/>
    </row>
    <row r="240" spans="1:10" ht="18.75" customHeight="1" x14ac:dyDescent="0.35">
      <c r="A240" s="65"/>
      <c r="B240" s="277"/>
      <c r="C240" s="146" t="s">
        <v>90</v>
      </c>
      <c r="D240" s="249"/>
      <c r="E240" s="168">
        <f>0.00708</f>
        <v>7.0800000000000004E-3</v>
      </c>
      <c r="F240" s="168">
        <f>0.13204</f>
        <v>0.13203999999999999</v>
      </c>
      <c r="G240" s="124">
        <f>D240-F240</f>
        <v>-0.13203999999999999</v>
      </c>
      <c r="H240" s="168">
        <f>0.6194</f>
        <v>0.61939999999999995</v>
      </c>
      <c r="I240" s="309"/>
      <c r="J240" s="117"/>
    </row>
    <row r="241" spans="1:10" ht="14.15" customHeight="1" x14ac:dyDescent="0.35">
      <c r="A241" s="1"/>
      <c r="B241" s="281"/>
      <c r="C241" s="179" t="s">
        <v>82</v>
      </c>
      <c r="D241" s="5">
        <f>D226</f>
        <v>1516</v>
      </c>
      <c r="E241" s="190">
        <f>SUM(E237:E240)</f>
        <v>11.1393</v>
      </c>
      <c r="F241" s="190">
        <f>SUM(F237:F240)</f>
        <v>260.95937999999916</v>
      </c>
      <c r="G241" s="190">
        <f>D241-F241</f>
        <v>1255.0406200000009</v>
      </c>
      <c r="H241" s="190">
        <f>H237+H238+H239+H240</f>
        <v>498.36054999999902</v>
      </c>
      <c r="I241" s="1"/>
      <c r="J241" s="117"/>
    </row>
    <row r="242" spans="1:10" ht="14.15" customHeight="1" x14ac:dyDescent="0.35">
      <c r="A242" s="1"/>
      <c r="B242" s="281"/>
      <c r="C242" s="20"/>
      <c r="D242" s="33"/>
      <c r="E242" s="33"/>
      <c r="F242" s="33"/>
      <c r="G242" s="33"/>
      <c r="H242" s="33"/>
      <c r="I242" s="1"/>
      <c r="J242" s="117"/>
    </row>
    <row r="243" spans="1:10" ht="14.15" customHeight="1" x14ac:dyDescent="0.35">
      <c r="A243" s="1"/>
      <c r="B243" s="160"/>
      <c r="C243" s="104"/>
      <c r="D243" s="104"/>
      <c r="E243" s="104"/>
      <c r="F243" s="104"/>
      <c r="G243" s="103"/>
      <c r="H243" s="104"/>
      <c r="I243" s="104"/>
      <c r="J243" s="115"/>
    </row>
    <row r="244" spans="1:10" ht="16.5" customHeight="1" x14ac:dyDescent="0.35">
      <c r="A244" s="1"/>
      <c r="C244" s="145" t="s">
        <v>108</v>
      </c>
    </row>
    <row r="245" spans="1:10" ht="14.15" customHeight="1" x14ac:dyDescent="0.35">
      <c r="A245" s="1" t="s">
        <v>108</v>
      </c>
    </row>
    <row r="246" spans="1:10" ht="30" customHeight="1" x14ac:dyDescent="0.5">
      <c r="A246" s="223"/>
      <c r="B246" s="1"/>
      <c r="C246" s="213" t="s">
        <v>91</v>
      </c>
      <c r="D246" s="152"/>
      <c r="E246" s="1"/>
      <c r="F246" s="1"/>
      <c r="G246" s="1"/>
      <c r="H246" s="1"/>
      <c r="I246" s="1"/>
      <c r="J246" s="1"/>
    </row>
    <row r="247" spans="1:10" ht="17.149999999999999" customHeight="1" x14ac:dyDescent="0.35">
      <c r="B247" s="120"/>
      <c r="C247" s="266"/>
      <c r="D247" s="266"/>
      <c r="E247" s="266"/>
      <c r="F247" s="266"/>
      <c r="G247" s="266"/>
      <c r="H247" s="266"/>
      <c r="I247" s="266"/>
      <c r="J247" s="58"/>
    </row>
    <row r="248" spans="1:10" ht="6" customHeight="1" x14ac:dyDescent="0.35">
      <c r="B248" s="69"/>
      <c r="C248" s="145"/>
      <c r="D248" s="145"/>
      <c r="E248" s="145"/>
      <c r="F248" s="145"/>
      <c r="G248" s="145"/>
      <c r="H248" s="145"/>
      <c r="I248" s="145"/>
      <c r="J248" s="127"/>
    </row>
    <row r="249" spans="1:10" ht="18" customHeight="1" x14ac:dyDescent="0.35">
      <c r="B249" s="69"/>
      <c r="C249" s="144" t="s">
        <v>1</v>
      </c>
      <c r="D249" s="180"/>
      <c r="E249" s="144" t="s">
        <v>92</v>
      </c>
      <c r="F249" s="180"/>
      <c r="G249" s="144" t="s">
        <v>93</v>
      </c>
      <c r="H249" s="180"/>
      <c r="I249" s="145"/>
      <c r="J249" s="127"/>
    </row>
    <row r="250" spans="1:10" ht="14.25" customHeight="1" x14ac:dyDescent="0.35">
      <c r="B250" s="69"/>
      <c r="C250" s="285" t="s">
        <v>79</v>
      </c>
      <c r="D250" s="296">
        <v>28728</v>
      </c>
      <c r="E250" s="279" t="s">
        <v>4</v>
      </c>
      <c r="F250" s="99">
        <v>15215</v>
      </c>
      <c r="G250" s="275" t="s">
        <v>20</v>
      </c>
      <c r="H250" s="46">
        <v>7457</v>
      </c>
      <c r="I250" s="145"/>
      <c r="J250" s="127"/>
    </row>
    <row r="251" spans="1:10" ht="14.25" customHeight="1" x14ac:dyDescent="0.35">
      <c r="B251" s="69"/>
      <c r="C251" s="275" t="s">
        <v>86</v>
      </c>
      <c r="D251" s="46">
        <v>19199</v>
      </c>
      <c r="E251" s="173" t="s">
        <v>89</v>
      </c>
      <c r="F251" s="45">
        <v>8000</v>
      </c>
      <c r="G251" s="275" t="s">
        <v>21</v>
      </c>
      <c r="H251" s="46">
        <v>1941</v>
      </c>
      <c r="I251" s="145"/>
      <c r="J251" s="127"/>
    </row>
    <row r="252" spans="1:10" ht="14.25" customHeight="1" x14ac:dyDescent="0.35">
      <c r="B252" s="69"/>
      <c r="C252" s="275" t="s">
        <v>85</v>
      </c>
      <c r="D252" s="46">
        <v>6746</v>
      </c>
      <c r="E252" s="173" t="s">
        <v>56</v>
      </c>
      <c r="F252" s="45">
        <v>5500</v>
      </c>
      <c r="G252" s="275" t="s">
        <v>94</v>
      </c>
      <c r="H252" s="46">
        <v>4479</v>
      </c>
      <c r="I252" s="145"/>
      <c r="J252" s="127"/>
    </row>
    <row r="253" spans="1:10" ht="14.15" customHeight="1" x14ac:dyDescent="0.35">
      <c r="B253" s="69"/>
      <c r="C253" s="275"/>
      <c r="D253" s="46"/>
      <c r="E253" s="128"/>
      <c r="F253" s="141"/>
      <c r="G253" s="275" t="s">
        <v>95</v>
      </c>
      <c r="H253" s="46">
        <v>1338</v>
      </c>
      <c r="I253" s="145"/>
      <c r="J253" s="127"/>
    </row>
    <row r="254" spans="1:10" ht="14.15" customHeight="1" x14ac:dyDescent="0.35">
      <c r="B254" s="69"/>
      <c r="C254" s="57" t="s">
        <v>46</v>
      </c>
      <c r="D254" s="35">
        <v>54053</v>
      </c>
      <c r="E254" s="167" t="s">
        <v>96</v>
      </c>
      <c r="F254" s="35">
        <f>F250+F251+F252</f>
        <v>28715</v>
      </c>
      <c r="G254" s="57" t="s">
        <v>4</v>
      </c>
      <c r="H254" s="35">
        <f>SUM(H250:H253)</f>
        <v>15215</v>
      </c>
      <c r="I254" s="145"/>
      <c r="J254" s="127"/>
    </row>
    <row r="255" spans="1:10" ht="13.4" customHeight="1" x14ac:dyDescent="0.35">
      <c r="B255" s="69"/>
      <c r="C255" s="204" t="s">
        <v>119</v>
      </c>
      <c r="D255" s="173"/>
      <c r="E255" s="173"/>
      <c r="F255" s="173"/>
      <c r="G255" s="1"/>
      <c r="H255" s="173"/>
      <c r="I255" s="173"/>
      <c r="J255" s="271"/>
    </row>
    <row r="256" spans="1:10" ht="13.4" customHeight="1" x14ac:dyDescent="0.35">
      <c r="B256" s="69"/>
      <c r="C256" s="205" t="s">
        <v>115</v>
      </c>
      <c r="D256" s="1"/>
      <c r="E256" s="1"/>
      <c r="F256" s="1"/>
      <c r="G256" s="1"/>
      <c r="H256" s="1"/>
      <c r="I256" s="173"/>
      <c r="J256" s="117"/>
    </row>
    <row r="257" spans="1:10" ht="9.75" customHeight="1" x14ac:dyDescent="0.35">
      <c r="B257" s="69"/>
      <c r="C257" s="101"/>
      <c r="D257" s="1"/>
      <c r="E257" s="1"/>
      <c r="F257" s="1"/>
      <c r="G257" s="1"/>
      <c r="H257" s="1"/>
      <c r="I257" s="1"/>
      <c r="J257" s="117"/>
    </row>
    <row r="258" spans="1:10" ht="18" customHeight="1" x14ac:dyDescent="0.35">
      <c r="B258" s="69"/>
      <c r="C258" s="145"/>
      <c r="D258" s="145"/>
      <c r="E258" s="145"/>
      <c r="F258" s="145"/>
      <c r="G258" s="145"/>
      <c r="H258" s="145"/>
      <c r="I258" s="145"/>
      <c r="J258" s="127"/>
    </row>
    <row r="259" spans="1:10" ht="29.25" customHeight="1" x14ac:dyDescent="0.35">
      <c r="B259" s="258"/>
      <c r="C259" s="261" t="s">
        <v>15</v>
      </c>
      <c r="D259" s="261"/>
      <c r="E259" s="261"/>
      <c r="F259" s="261"/>
      <c r="G259" s="261"/>
      <c r="H259" s="261"/>
      <c r="I259" s="261"/>
      <c r="J259" s="265"/>
    </row>
    <row r="260" spans="1:10" ht="18.75" customHeight="1" x14ac:dyDescent="0.35">
      <c r="B260" s="193"/>
      <c r="C260" s="251"/>
      <c r="D260" s="251"/>
      <c r="E260" s="251"/>
      <c r="F260" s="251"/>
      <c r="G260" s="251"/>
      <c r="H260" s="251"/>
      <c r="I260" s="251"/>
      <c r="J260" s="13"/>
    </row>
    <row r="261" spans="1:10" ht="64.5" customHeight="1" x14ac:dyDescent="0.35">
      <c r="B261" s="69"/>
      <c r="C261" s="250" t="s">
        <v>16</v>
      </c>
      <c r="D261" s="259" t="s">
        <v>17</v>
      </c>
      <c r="E261" s="68" t="s">
        <v>121</v>
      </c>
      <c r="F261" s="250" t="s">
        <v>161</v>
      </c>
      <c r="G261" s="250" t="s">
        <v>162</v>
      </c>
      <c r="H261" s="250" t="s">
        <v>163</v>
      </c>
      <c r="I261" s="250" t="s">
        <v>164</v>
      </c>
      <c r="J261" s="127"/>
    </row>
    <row r="262" spans="1:10" ht="14.15" customHeight="1" x14ac:dyDescent="0.35">
      <c r="A262" s="223"/>
      <c r="B262" s="69"/>
      <c r="C262" s="274" t="s">
        <v>19</v>
      </c>
      <c r="D262" s="278">
        <f t="shared" ref="D262:I262" si="15">D266+D265+D264+D263</f>
        <v>15215</v>
      </c>
      <c r="E262" s="278">
        <f t="shared" si="15"/>
        <v>18840</v>
      </c>
      <c r="F262" s="280">
        <f t="shared" si="15"/>
        <v>63.2806</v>
      </c>
      <c r="G262" s="280">
        <f t="shared" si="15"/>
        <v>1375.8279100000002</v>
      </c>
      <c r="H262" s="280">
        <f>H266+H265+H264+H263</f>
        <v>17464.17209</v>
      </c>
      <c r="I262" s="280">
        <f t="shared" si="15"/>
        <v>2854.5764600000002</v>
      </c>
      <c r="J262" s="127"/>
    </row>
    <row r="263" spans="1:10" ht="14.15" customHeight="1" x14ac:dyDescent="0.35">
      <c r="A263" s="223"/>
      <c r="B263" s="69"/>
      <c r="C263" s="282" t="s">
        <v>98</v>
      </c>
      <c r="D263" s="283">
        <v>7457</v>
      </c>
      <c r="E263" s="283">
        <v>10175</v>
      </c>
      <c r="F263" s="284">
        <f>0</f>
        <v>0</v>
      </c>
      <c r="G263" s="284">
        <f>258.76306</f>
        <v>258.76306</v>
      </c>
      <c r="H263" s="284">
        <f t="shared" ref="H263:H268" si="16">E263-G263</f>
        <v>9916.2369400000007</v>
      </c>
      <c r="I263" s="284">
        <f>845.14931</f>
        <v>845.14931000000001</v>
      </c>
      <c r="J263" s="127"/>
    </row>
    <row r="264" spans="1:10" ht="14.15" customHeight="1" x14ac:dyDescent="0.35">
      <c r="A264" s="223"/>
      <c r="B264" s="69"/>
      <c r="C264" s="286" t="s">
        <v>21</v>
      </c>
      <c r="D264" s="283">
        <v>1941</v>
      </c>
      <c r="E264" s="283">
        <v>2649</v>
      </c>
      <c r="F264" s="284">
        <f>0</f>
        <v>0</v>
      </c>
      <c r="G264" s="284">
        <f>35.64</f>
        <v>35.64</v>
      </c>
      <c r="H264" s="284">
        <f t="shared" si="16"/>
        <v>2613.36</v>
      </c>
      <c r="I264" s="284">
        <f>390.3525</f>
        <v>390.35250000000002</v>
      </c>
      <c r="J264" s="127"/>
    </row>
    <row r="265" spans="1:10" ht="14.15" customHeight="1" x14ac:dyDescent="0.35">
      <c r="A265" s="223"/>
      <c r="B265" s="69"/>
      <c r="C265" s="286" t="s">
        <v>95</v>
      </c>
      <c r="D265" s="283">
        <v>1338</v>
      </c>
      <c r="E265" s="283">
        <v>1407</v>
      </c>
      <c r="F265" s="284">
        <f>19.6438</f>
        <v>19.643799999999999</v>
      </c>
      <c r="G265" s="284">
        <f>687.66069</f>
        <v>687.66069000000005</v>
      </c>
      <c r="H265" s="284">
        <f t="shared" si="16"/>
        <v>719.33930999999995</v>
      </c>
      <c r="I265" s="284">
        <f>815.12606</f>
        <v>815.12606000000005</v>
      </c>
      <c r="J265" s="127"/>
    </row>
    <row r="266" spans="1:10" ht="14.15" customHeight="1" x14ac:dyDescent="0.35">
      <c r="A266" s="223"/>
      <c r="B266" s="69"/>
      <c r="C266" s="288" t="s">
        <v>118</v>
      </c>
      <c r="D266" s="289">
        <v>4479</v>
      </c>
      <c r="E266" s="289">
        <v>4609</v>
      </c>
      <c r="F266" s="284">
        <f>43.6368</f>
        <v>43.636800000000001</v>
      </c>
      <c r="G266" s="284">
        <f>393.76416</f>
        <v>393.76416</v>
      </c>
      <c r="H266" s="284">
        <f t="shared" si="16"/>
        <v>4215.2358400000003</v>
      </c>
      <c r="I266" s="284">
        <f>803.94859</f>
        <v>803.94858999999997</v>
      </c>
      <c r="J266" s="127"/>
    </row>
    <row r="267" spans="1:10" ht="14.15" customHeight="1" x14ac:dyDescent="0.35">
      <c r="A267" s="223"/>
      <c r="B267" s="69"/>
      <c r="C267" s="291" t="s">
        <v>56</v>
      </c>
      <c r="D267" s="292">
        <v>5500</v>
      </c>
      <c r="E267" s="292">
        <v>5500</v>
      </c>
      <c r="F267" s="294">
        <f>2.15</f>
        <v>2.15</v>
      </c>
      <c r="G267" s="294">
        <f>782.97</f>
        <v>782.97</v>
      </c>
      <c r="H267" s="294">
        <f t="shared" si="16"/>
        <v>4717.03</v>
      </c>
      <c r="I267" s="294">
        <f>1983.66804</f>
        <v>1983.66804</v>
      </c>
      <c r="J267" s="127"/>
    </row>
    <row r="268" spans="1:10" ht="14.15" customHeight="1" x14ac:dyDescent="0.35">
      <c r="A268" s="223"/>
      <c r="B268" s="69"/>
      <c r="C268" s="274" t="s">
        <v>22</v>
      </c>
      <c r="D268" s="278">
        <v>8000</v>
      </c>
      <c r="E268" s="278">
        <v>8000</v>
      </c>
      <c r="F268" s="295">
        <f>F270+F269</f>
        <v>14.4345</v>
      </c>
      <c r="G268" s="295">
        <f>G270+G269</f>
        <v>923.69905000000108</v>
      </c>
      <c r="H268" s="295">
        <f t="shared" si="16"/>
        <v>7076.3009499999989</v>
      </c>
      <c r="I268" s="295">
        <f>I270+I269</f>
        <v>1132.3504000000009</v>
      </c>
      <c r="J268" s="127"/>
    </row>
    <row r="269" spans="1:10" ht="14.15" customHeight="1" x14ac:dyDescent="0.35">
      <c r="A269" s="223"/>
      <c r="B269" s="69"/>
      <c r="C269" s="286" t="s">
        <v>50</v>
      </c>
      <c r="D269" s="297"/>
      <c r="E269" s="283"/>
      <c r="F269" s="284">
        <f>0</f>
        <v>0</v>
      </c>
      <c r="G269" s="284">
        <f>329.93919</f>
        <v>329.93919</v>
      </c>
      <c r="H269" s="284"/>
      <c r="I269" s="284">
        <f>447.82058</f>
        <v>447.82058000000001</v>
      </c>
      <c r="J269" s="127"/>
    </row>
    <row r="270" spans="1:10" ht="14.15" customHeight="1" x14ac:dyDescent="0.35">
      <c r="A270" s="223"/>
      <c r="B270" s="69"/>
      <c r="C270" s="299" t="s">
        <v>99</v>
      </c>
      <c r="D270" s="300"/>
      <c r="E270" s="302"/>
      <c r="F270" s="303">
        <f>14.4345</f>
        <v>14.4345</v>
      </c>
      <c r="G270" s="303">
        <f>593.759860000001</f>
        <v>593.75986000000103</v>
      </c>
      <c r="H270" s="303"/>
      <c r="I270" s="303">
        <f>684.529820000001</f>
        <v>684.529820000001</v>
      </c>
      <c r="J270" s="127"/>
    </row>
    <row r="271" spans="1:10" ht="14.15" customHeight="1" x14ac:dyDescent="0.35">
      <c r="A271" s="223"/>
      <c r="B271" s="69"/>
      <c r="C271" s="291" t="s">
        <v>33</v>
      </c>
      <c r="D271" s="292">
        <v>13</v>
      </c>
      <c r="E271" s="292">
        <v>13</v>
      </c>
      <c r="F271" s="294">
        <f>0</f>
        <v>0</v>
      </c>
      <c r="G271" s="294">
        <f>0</f>
        <v>0</v>
      </c>
      <c r="H271" s="294">
        <f>E271-G271</f>
        <v>13</v>
      </c>
      <c r="I271" s="294">
        <f>0.0135</f>
        <v>1.35E-2</v>
      </c>
      <c r="J271" s="127"/>
    </row>
    <row r="272" spans="1:10" ht="14.15" customHeight="1" x14ac:dyDescent="0.35">
      <c r="A272" s="223"/>
      <c r="B272" s="69"/>
      <c r="C272" s="304" t="s">
        <v>100</v>
      </c>
      <c r="D272" s="307"/>
      <c r="E272" s="308"/>
      <c r="F272" s="294">
        <f>1.6146</f>
        <v>1.6146</v>
      </c>
      <c r="G272" s="294">
        <f>5.17418</f>
        <v>5.1741799999999998</v>
      </c>
      <c r="H272" s="294">
        <f>E272-G272</f>
        <v>-5.1741799999999998</v>
      </c>
      <c r="I272" s="294">
        <f>4.05008</f>
        <v>4.0500800000000003</v>
      </c>
      <c r="J272" s="127"/>
    </row>
    <row r="273" spans="1:10" ht="19.5" customHeight="1" x14ac:dyDescent="0.35">
      <c r="A273" s="223"/>
      <c r="B273" s="69"/>
      <c r="C273" s="310" t="s">
        <v>39</v>
      </c>
      <c r="D273" s="311">
        <f>D262+D267+D268+D271+D272</f>
        <v>28728</v>
      </c>
      <c r="E273" s="311">
        <f>E262+E267+E268+E271+E272</f>
        <v>32353</v>
      </c>
      <c r="F273" s="312">
        <f t="shared" ref="F273:I273" si="17">F262+F267+F268+F271+F272</f>
        <v>81.479699999999994</v>
      </c>
      <c r="G273" s="312">
        <f t="shared" si="17"/>
        <v>3087.6711400000013</v>
      </c>
      <c r="H273" s="312">
        <f>H262+H267+H268+H271+H272</f>
        <v>29265.328859999994</v>
      </c>
      <c r="I273" s="312">
        <f t="shared" si="17"/>
        <v>5974.6584800000019</v>
      </c>
      <c r="J273" s="127"/>
    </row>
    <row r="274" spans="1:10" ht="14.15" customHeight="1" x14ac:dyDescent="0.35">
      <c r="A274" s="223"/>
      <c r="B274" s="69"/>
      <c r="C274" s="156" t="s">
        <v>101</v>
      </c>
      <c r="D274" s="314"/>
      <c r="E274" s="314"/>
      <c r="F274" s="3"/>
      <c r="G274" s="3"/>
      <c r="H274" s="4"/>
      <c r="I274" s="4"/>
      <c r="J274" s="127"/>
    </row>
    <row r="275" spans="1:10" ht="14.15" customHeight="1" x14ac:dyDescent="0.35">
      <c r="A275" s="223"/>
      <c r="B275" s="69"/>
      <c r="C275" s="101" t="s">
        <v>153</v>
      </c>
      <c r="D275" s="314"/>
      <c r="E275" s="314"/>
      <c r="F275" s="3"/>
      <c r="G275" s="3"/>
      <c r="H275" s="6"/>
      <c r="I275" s="4"/>
      <c r="J275" s="127"/>
    </row>
    <row r="276" spans="1:10" ht="14.15" customHeight="1" x14ac:dyDescent="0.35">
      <c r="A276" s="223"/>
      <c r="B276" s="69"/>
      <c r="C276" s="156" t="s">
        <v>154</v>
      </c>
      <c r="D276" s="314"/>
      <c r="E276" s="314"/>
      <c r="F276" s="3"/>
      <c r="G276" s="3"/>
      <c r="H276" s="4"/>
      <c r="I276" s="6"/>
      <c r="J276" s="127"/>
    </row>
    <row r="277" spans="1:10" ht="15.75" customHeight="1" x14ac:dyDescent="0.35">
      <c r="A277" s="223"/>
      <c r="B277" s="7"/>
      <c r="C277" s="8"/>
      <c r="D277" s="104"/>
      <c r="E277" s="104"/>
      <c r="F277" s="104"/>
      <c r="G277" s="104"/>
      <c r="H277" s="104"/>
      <c r="I277" s="104"/>
      <c r="J277" s="11"/>
    </row>
    <row r="278" spans="1:10" ht="409.5" customHeight="1" x14ac:dyDescent="0.35">
      <c r="A278" s="223"/>
      <c r="B278" s="145" t="s">
        <v>108</v>
      </c>
      <c r="C278" s="12"/>
      <c r="D278" s="1"/>
      <c r="E278" s="1"/>
      <c r="F278" s="1"/>
      <c r="G278" s="1"/>
      <c r="H278" s="1"/>
      <c r="I278" s="1"/>
      <c r="J278" s="145"/>
    </row>
    <row r="279" spans="1:10" ht="28.5" customHeight="1" x14ac:dyDescent="0.35">
      <c r="A279" s="223"/>
      <c r="C279" s="145" t="s">
        <v>108</v>
      </c>
      <c r="D279" s="152"/>
    </row>
    <row r="280" spans="1:10" ht="14.15" customHeight="1" x14ac:dyDescent="0.35">
      <c r="A280" s="223"/>
      <c r="B280" s="120"/>
      <c r="C280" s="266"/>
      <c r="D280" s="16"/>
      <c r="E280" s="266"/>
      <c r="F280" s="266"/>
      <c r="G280" s="266"/>
      <c r="H280" s="266"/>
      <c r="I280" s="266"/>
      <c r="J280" s="58"/>
    </row>
    <row r="281" spans="1:10" ht="14.15" customHeight="1" x14ac:dyDescent="0.35">
      <c r="A281" s="223"/>
      <c r="B281" s="69"/>
      <c r="C281" s="233" t="s">
        <v>102</v>
      </c>
      <c r="D281" s="152"/>
      <c r="E281" s="145"/>
      <c r="G281" s="145"/>
      <c r="H281" s="145"/>
      <c r="I281" s="145"/>
      <c r="J281" s="127"/>
    </row>
    <row r="282" spans="1:10" ht="14.15" customHeight="1" x14ac:dyDescent="0.35">
      <c r="A282" s="223"/>
      <c r="B282" s="69"/>
      <c r="C282" s="145"/>
      <c r="D282" s="152"/>
      <c r="E282" s="145"/>
      <c r="G282" s="145"/>
      <c r="H282" s="145"/>
      <c r="I282" s="145"/>
      <c r="J282" s="127"/>
    </row>
    <row r="283" spans="1:10" ht="14.15" customHeight="1" x14ac:dyDescent="0.35">
      <c r="A283" s="223"/>
      <c r="B283" s="69"/>
      <c r="C283" s="144" t="s">
        <v>1</v>
      </c>
      <c r="D283" s="180"/>
      <c r="E283" s="145"/>
      <c r="F283" s="145"/>
      <c r="G283" s="145"/>
      <c r="H283" s="145"/>
      <c r="I283" s="145"/>
      <c r="J283" s="127"/>
    </row>
    <row r="284" spans="1:10" ht="14.15" customHeight="1" x14ac:dyDescent="0.35">
      <c r="A284" s="223"/>
      <c r="B284" s="69"/>
      <c r="C284" s="285" t="s">
        <v>6</v>
      </c>
      <c r="D284" s="296">
        <v>2338</v>
      </c>
      <c r="E284" s="145"/>
      <c r="F284" s="145"/>
      <c r="G284" s="145"/>
      <c r="H284" s="145"/>
      <c r="I284" s="145"/>
      <c r="J284" s="127"/>
    </row>
    <row r="285" spans="1:10" ht="14.15" customHeight="1" x14ac:dyDescent="0.35">
      <c r="A285" s="223"/>
      <c r="B285" s="69"/>
      <c r="C285" s="275" t="s">
        <v>86</v>
      </c>
      <c r="D285" s="46">
        <v>1549</v>
      </c>
      <c r="E285" s="145"/>
      <c r="G285" s="145"/>
      <c r="H285" s="145"/>
      <c r="I285" s="145"/>
      <c r="J285" s="127"/>
    </row>
    <row r="286" spans="1:10" ht="14.15" customHeight="1" x14ac:dyDescent="0.35">
      <c r="A286" s="223"/>
      <c r="B286" s="69"/>
      <c r="C286" s="275" t="s">
        <v>69</v>
      </c>
      <c r="D286" s="46">
        <v>123</v>
      </c>
      <c r="E286" s="145"/>
      <c r="F286" s="145"/>
      <c r="G286" s="145"/>
      <c r="H286" s="145"/>
      <c r="I286" s="145"/>
      <c r="J286" s="127"/>
    </row>
    <row r="287" spans="1:10" ht="14.15" customHeight="1" x14ac:dyDescent="0.35">
      <c r="A287" s="223"/>
      <c r="B287" s="69"/>
      <c r="C287" s="57" t="s">
        <v>46</v>
      </c>
      <c r="D287" s="35">
        <v>4010</v>
      </c>
      <c r="E287" s="145"/>
      <c r="F287" s="145"/>
      <c r="G287" s="145"/>
      <c r="H287" s="145"/>
      <c r="I287" s="145"/>
      <c r="J287" s="127"/>
    </row>
    <row r="288" spans="1:10" ht="14.15" customHeight="1" x14ac:dyDescent="0.35">
      <c r="A288" s="223"/>
      <c r="B288" s="69"/>
      <c r="C288" s="320" t="s">
        <v>116</v>
      </c>
      <c r="D288" s="320"/>
      <c r="E288" s="320"/>
      <c r="F288" s="320"/>
      <c r="G288" s="208"/>
      <c r="H288" s="208"/>
      <c r="I288" s="145"/>
      <c r="J288" s="127"/>
    </row>
    <row r="289" spans="1:10" ht="14.15" customHeight="1" x14ac:dyDescent="0.35">
      <c r="A289" s="223"/>
      <c r="B289" s="69"/>
      <c r="C289" s="208"/>
      <c r="D289" s="208"/>
      <c r="E289" s="208"/>
      <c r="F289" s="208"/>
      <c r="G289" s="208"/>
      <c r="H289" s="208"/>
      <c r="I289" s="145"/>
      <c r="J289" s="127"/>
    </row>
    <row r="290" spans="1:10" ht="14.15" customHeight="1" x14ac:dyDescent="0.35">
      <c r="A290" s="223"/>
      <c r="B290" s="69"/>
      <c r="C290" s="145"/>
      <c r="D290" s="152"/>
      <c r="E290" s="145"/>
      <c r="F290" s="145"/>
      <c r="G290" s="145"/>
      <c r="H290" s="145"/>
      <c r="I290" s="145"/>
      <c r="J290" s="127"/>
    </row>
    <row r="291" spans="1:10" ht="14.15" customHeight="1" x14ac:dyDescent="0.35">
      <c r="A291" s="223"/>
      <c r="B291" s="69"/>
      <c r="C291" s="145"/>
      <c r="D291" s="145"/>
      <c r="E291" s="145"/>
      <c r="F291" s="145"/>
      <c r="G291" s="145"/>
      <c r="H291" s="145"/>
      <c r="I291" s="145"/>
      <c r="J291" s="127"/>
    </row>
    <row r="292" spans="1:10" ht="29.25" customHeight="1" x14ac:dyDescent="0.35">
      <c r="A292" s="223"/>
      <c r="B292" s="258"/>
      <c r="C292" s="261" t="s">
        <v>15</v>
      </c>
      <c r="D292" s="261"/>
      <c r="E292" s="261"/>
      <c r="F292" s="261"/>
      <c r="G292" s="261"/>
      <c r="H292" s="261"/>
      <c r="I292" s="261"/>
      <c r="J292" s="265"/>
    </row>
    <row r="293" spans="1:10" ht="78" customHeight="1" x14ac:dyDescent="0.35">
      <c r="A293" s="223"/>
      <c r="B293" s="193"/>
      <c r="C293" s="19" t="s">
        <v>103</v>
      </c>
      <c r="D293" s="21" t="s">
        <v>104</v>
      </c>
      <c r="E293" s="19" t="s">
        <v>161</v>
      </c>
      <c r="F293" s="19" t="s">
        <v>162</v>
      </c>
      <c r="G293" s="23" t="s">
        <v>163</v>
      </c>
      <c r="H293" s="19" t="s">
        <v>164</v>
      </c>
      <c r="I293" s="251"/>
      <c r="J293" s="13"/>
    </row>
    <row r="294" spans="1:10" ht="14.15" customHeight="1" x14ac:dyDescent="0.35">
      <c r="A294" s="223"/>
      <c r="B294" s="69"/>
      <c r="C294" s="291" t="s">
        <v>105</v>
      </c>
      <c r="D294" s="197">
        <v>779</v>
      </c>
      <c r="E294" s="25">
        <f>SUM(E295:E296)</f>
        <v>0</v>
      </c>
      <c r="F294" s="25">
        <f>SUM(F295:F296)</f>
        <v>928.6079299999999</v>
      </c>
      <c r="G294" s="82">
        <f>D294-F294</f>
        <v>-149.6079299999999</v>
      </c>
      <c r="H294" s="25">
        <f>SUM(H295:H296)</f>
        <v>1023.43038</v>
      </c>
      <c r="I294" s="26"/>
      <c r="J294" s="127"/>
    </row>
    <row r="295" spans="1:10" ht="14.15" customHeight="1" x14ac:dyDescent="0.35">
      <c r="A295" s="223"/>
      <c r="B295" s="69"/>
      <c r="C295" s="28" t="s">
        <v>8</v>
      </c>
      <c r="E295" s="198">
        <f>0</f>
        <v>0</v>
      </c>
      <c r="F295" s="198">
        <f>687.69675</f>
        <v>687.69674999999995</v>
      </c>
      <c r="G295" s="199"/>
      <c r="H295" s="198">
        <f>779.14308</f>
        <v>779.14308000000005</v>
      </c>
      <c r="I295" s="145"/>
      <c r="J295" s="127"/>
    </row>
    <row r="296" spans="1:10" ht="14.15" customHeight="1" x14ac:dyDescent="0.35">
      <c r="A296" s="223"/>
      <c r="B296" s="69"/>
      <c r="C296" s="28" t="s">
        <v>11</v>
      </c>
      <c r="D296" s="200"/>
      <c r="E296" s="202">
        <f>0</f>
        <v>0</v>
      </c>
      <c r="F296" s="202">
        <f>240.91118</f>
        <v>240.91118</v>
      </c>
      <c r="G296" s="203"/>
      <c r="H296" s="202">
        <f>244.2873</f>
        <v>244.28729999999999</v>
      </c>
      <c r="I296" s="145"/>
      <c r="J296" s="127"/>
    </row>
    <row r="297" spans="1:10" ht="14.15" customHeight="1" x14ac:dyDescent="0.35">
      <c r="A297" s="223"/>
      <c r="B297" s="69"/>
      <c r="C297" s="291" t="s">
        <v>106</v>
      </c>
      <c r="D297" s="9">
        <v>779</v>
      </c>
      <c r="E297" s="25">
        <f>SUM(E298:E299)</f>
        <v>0</v>
      </c>
      <c r="F297" s="25">
        <f>SUM(F298:F299)</f>
        <v>646.34609999999998</v>
      </c>
      <c r="G297" s="82">
        <f>D297-F297</f>
        <v>132.65390000000002</v>
      </c>
      <c r="H297" s="25">
        <f>SUM(H298:H299)</f>
        <v>991.08674999999994</v>
      </c>
      <c r="I297" s="26"/>
      <c r="J297" s="127"/>
    </row>
    <row r="298" spans="1:10" ht="14.15" customHeight="1" x14ac:dyDescent="0.35">
      <c r="A298" s="223"/>
      <c r="B298" s="69"/>
      <c r="C298" s="28" t="s">
        <v>8</v>
      </c>
      <c r="D298" s="41"/>
      <c r="E298" s="29">
        <f>0</f>
        <v>0</v>
      </c>
      <c r="F298" s="29">
        <f>507.218</f>
        <v>507.21800000000002</v>
      </c>
      <c r="G298" s="94"/>
      <c r="H298" s="29">
        <f>767.36623</f>
        <v>767.36622999999997</v>
      </c>
      <c r="I298" s="145"/>
      <c r="J298" s="127"/>
    </row>
    <row r="299" spans="1:10" ht="14.15" customHeight="1" x14ac:dyDescent="0.35">
      <c r="A299" s="223"/>
      <c r="B299" s="69"/>
      <c r="C299" s="28" t="s">
        <v>11</v>
      </c>
      <c r="D299" s="248"/>
      <c r="E299" s="29">
        <f>0</f>
        <v>0</v>
      </c>
      <c r="F299" s="29">
        <f>139.1281</f>
        <v>139.12809999999999</v>
      </c>
      <c r="G299" s="105"/>
      <c r="H299" s="29">
        <f>223.72052</f>
        <v>223.72051999999999</v>
      </c>
      <c r="I299" s="145"/>
      <c r="J299" s="127"/>
    </row>
    <row r="300" spans="1:10" ht="14.15" customHeight="1" x14ac:dyDescent="0.35">
      <c r="A300" s="223"/>
      <c r="B300" s="69"/>
      <c r="C300" s="291" t="s">
        <v>107</v>
      </c>
      <c r="D300" s="9">
        <v>780</v>
      </c>
      <c r="E300" s="34">
        <f>SUM(E301:E302)</f>
        <v>24.981200000000001</v>
      </c>
      <c r="F300" s="34">
        <f>SUM(F301:F302)</f>
        <v>394.94778999999994</v>
      </c>
      <c r="G300" s="82">
        <f>D300-F300</f>
        <v>385.05221000000006</v>
      </c>
      <c r="H300" s="34">
        <f>SUM(H301:H302)</f>
        <v>554.62036000000001</v>
      </c>
      <c r="I300" s="145"/>
      <c r="J300" s="127"/>
    </row>
    <row r="301" spans="1:10" ht="14.15" customHeight="1" x14ac:dyDescent="0.35">
      <c r="A301" s="223"/>
      <c r="B301" s="69"/>
      <c r="C301" s="28" t="s">
        <v>8</v>
      </c>
      <c r="D301" s="41"/>
      <c r="E301" s="29">
        <f>18.236</f>
        <v>18.236000000000001</v>
      </c>
      <c r="F301" s="29">
        <f>281.42864</f>
        <v>281.42863999999997</v>
      </c>
      <c r="G301" s="94"/>
      <c r="H301" s="29">
        <f>372.18004</f>
        <v>372.18004000000002</v>
      </c>
      <c r="I301" s="145"/>
      <c r="J301" s="127"/>
    </row>
    <row r="302" spans="1:10" ht="14.15" customHeight="1" x14ac:dyDescent="0.35">
      <c r="A302" s="223"/>
      <c r="B302" s="69"/>
      <c r="C302" s="28" t="s">
        <v>11</v>
      </c>
      <c r="D302" s="248"/>
      <c r="E302" s="29">
        <f>6.7452</f>
        <v>6.7451999999999996</v>
      </c>
      <c r="F302" s="29">
        <f>113.51915</f>
        <v>113.51915</v>
      </c>
      <c r="G302" s="105"/>
      <c r="H302" s="29">
        <f>182.44032</f>
        <v>182.44032000000001</v>
      </c>
      <c r="I302" s="145"/>
      <c r="J302" s="127"/>
    </row>
    <row r="303" spans="1:10" ht="14.15" customHeight="1" x14ac:dyDescent="0.35">
      <c r="A303" s="223"/>
      <c r="B303" s="69"/>
      <c r="C303" s="304" t="s">
        <v>90</v>
      </c>
      <c r="D303" s="36"/>
      <c r="E303" s="91">
        <f>0</f>
        <v>0</v>
      </c>
      <c r="F303" s="91">
        <f>0</f>
        <v>0</v>
      </c>
      <c r="G303" s="91">
        <f>D303-F303</f>
        <v>0</v>
      </c>
      <c r="H303" s="91">
        <f>0</f>
        <v>0</v>
      </c>
      <c r="I303" s="145"/>
      <c r="J303" s="127"/>
    </row>
    <row r="304" spans="1:10" ht="14.15" customHeight="1" x14ac:dyDescent="0.35">
      <c r="A304" s="223"/>
      <c r="B304" s="69"/>
      <c r="C304" s="310" t="s">
        <v>82</v>
      </c>
      <c r="D304" s="38">
        <f>D294+D297+D300</f>
        <v>2338</v>
      </c>
      <c r="E304" s="39">
        <f>E294+E297+E300+E303</f>
        <v>24.981200000000001</v>
      </c>
      <c r="F304" s="39">
        <f>F294+F297+F300+F303</f>
        <v>1969.9018199999998</v>
      </c>
      <c r="G304" s="40">
        <f>D304-F304</f>
        <v>368.09818000000018</v>
      </c>
      <c r="H304" s="39">
        <f>H294+H297+H300+H303</f>
        <v>2569.1374900000001</v>
      </c>
      <c r="I304" s="26"/>
      <c r="J304" s="127"/>
    </row>
    <row r="305" spans="1:10" ht="42" customHeight="1" x14ac:dyDescent="0.35">
      <c r="A305" s="223"/>
      <c r="B305" s="230"/>
      <c r="C305" s="322" t="s">
        <v>111</v>
      </c>
      <c r="D305" s="322"/>
      <c r="E305" s="322"/>
      <c r="F305" s="322"/>
      <c r="G305" s="322"/>
      <c r="H305" s="322"/>
      <c r="I305" s="322"/>
      <c r="J305" s="323"/>
    </row>
    <row r="306" spans="1:10" ht="42" customHeight="1" x14ac:dyDescent="0.35">
      <c r="A306" s="223"/>
      <c r="D306" s="211"/>
      <c r="E306" s="211"/>
      <c r="F306" s="211"/>
      <c r="G306" s="211"/>
      <c r="H306" s="211"/>
      <c r="I306" s="211"/>
      <c r="J306" s="211"/>
    </row>
    <row r="307" spans="1:10" ht="42" customHeight="1" x14ac:dyDescent="0.35">
      <c r="A307" s="223"/>
      <c r="C307" s="145" t="s">
        <v>108</v>
      </c>
      <c r="D307" s="152"/>
    </row>
    <row r="308" spans="1:10" ht="15.65" customHeight="1" x14ac:dyDescent="0.35">
      <c r="A308" s="223"/>
      <c r="B308" s="120"/>
      <c r="C308" s="266"/>
      <c r="D308" s="16"/>
      <c r="E308" s="266"/>
      <c r="F308" s="266"/>
      <c r="G308" s="266"/>
      <c r="H308" s="266"/>
      <c r="I308" s="266"/>
      <c r="J308" s="58"/>
    </row>
    <row r="309" spans="1:10" ht="19" customHeight="1" x14ac:dyDescent="0.35">
      <c r="A309" s="223"/>
      <c r="B309" s="69"/>
      <c r="C309" s="233" t="s">
        <v>124</v>
      </c>
      <c r="D309" s="152"/>
      <c r="E309" s="145"/>
      <c r="G309" s="145"/>
      <c r="H309" s="145"/>
      <c r="I309" s="145"/>
      <c r="J309" s="127"/>
    </row>
    <row r="310" spans="1:10" ht="20.149999999999999" customHeight="1" x14ac:dyDescent="0.35">
      <c r="A310" s="223"/>
      <c r="B310" s="69"/>
      <c r="C310" s="145"/>
      <c r="D310" s="152"/>
      <c r="E310" s="145"/>
      <c r="G310" s="145"/>
      <c r="H310" s="145"/>
      <c r="I310" s="145"/>
      <c r="J310" s="127"/>
    </row>
    <row r="311" spans="1:10" ht="18" customHeight="1" x14ac:dyDescent="0.35">
      <c r="A311" s="223"/>
      <c r="B311" s="69"/>
      <c r="C311" s="210" t="s">
        <v>1</v>
      </c>
      <c r="D311" s="210" t="s">
        <v>125</v>
      </c>
      <c r="E311" s="212" t="s">
        <v>126</v>
      </c>
      <c r="F311" s="145"/>
      <c r="G311" s="145"/>
      <c r="H311" s="145"/>
      <c r="I311" s="145"/>
      <c r="J311" s="127"/>
    </row>
    <row r="312" spans="1:10" ht="19" customHeight="1" x14ac:dyDescent="0.35">
      <c r="A312" s="223"/>
      <c r="B312" s="69"/>
      <c r="C312" s="110" t="s">
        <v>6</v>
      </c>
      <c r="D312" s="231">
        <v>238</v>
      </c>
      <c r="E312" s="234">
        <v>21237</v>
      </c>
      <c r="F312" s="145"/>
      <c r="G312" s="145"/>
      <c r="H312" s="145"/>
      <c r="I312" s="145"/>
      <c r="J312" s="127"/>
    </row>
    <row r="313" spans="1:10" ht="16" customHeight="1" x14ac:dyDescent="0.35">
      <c r="A313" s="223"/>
      <c r="B313" s="69"/>
      <c r="C313" s="110" t="s">
        <v>86</v>
      </c>
      <c r="D313" s="231">
        <v>5437</v>
      </c>
      <c r="E313" s="234">
        <v>11256</v>
      </c>
      <c r="F313" s="221"/>
      <c r="G313" s="145"/>
      <c r="H313" s="145"/>
      <c r="I313" s="145"/>
      <c r="J313" s="127"/>
    </row>
    <row r="314" spans="1:10" ht="17.5" customHeight="1" x14ac:dyDescent="0.35">
      <c r="A314" s="223"/>
      <c r="B314" s="69"/>
      <c r="C314" s="110" t="s">
        <v>127</v>
      </c>
      <c r="D314" s="231"/>
      <c r="E314" s="234">
        <v>59844</v>
      </c>
      <c r="F314" s="145"/>
      <c r="G314" s="145"/>
      <c r="H314" s="145"/>
      <c r="I314" s="145"/>
      <c r="J314" s="127"/>
    </row>
    <row r="315" spans="1:10" ht="19.5" customHeight="1" x14ac:dyDescent="0.35">
      <c r="A315" s="223"/>
      <c r="B315" s="69"/>
      <c r="C315" s="172" t="s">
        <v>46</v>
      </c>
      <c r="D315" s="232">
        <f>D312+D313</f>
        <v>5675</v>
      </c>
      <c r="E315" s="235">
        <f>E312+E313+E314</f>
        <v>92337</v>
      </c>
      <c r="F315" s="145"/>
      <c r="G315" s="145"/>
      <c r="H315" s="145"/>
      <c r="I315" s="145"/>
      <c r="J315" s="127"/>
    </row>
    <row r="316" spans="1:10" ht="16" customHeight="1" x14ac:dyDescent="0.35">
      <c r="A316" s="223"/>
      <c r="B316" s="69"/>
      <c r="C316" s="320" t="s">
        <v>155</v>
      </c>
      <c r="D316" s="320"/>
      <c r="E316" s="320"/>
      <c r="F316" s="320"/>
      <c r="G316" s="208"/>
      <c r="H316" s="208"/>
      <c r="I316" s="145"/>
      <c r="J316" s="127"/>
    </row>
    <row r="317" spans="1:10" ht="14.15" customHeight="1" x14ac:dyDescent="0.35">
      <c r="A317" s="223"/>
      <c r="B317" s="69"/>
      <c r="C317" s="208"/>
      <c r="D317" s="208"/>
      <c r="E317" s="208"/>
      <c r="F317" s="208"/>
      <c r="G317" s="208"/>
      <c r="H317" s="208"/>
      <c r="I317" s="145"/>
      <c r="J317" s="127"/>
    </row>
    <row r="318" spans="1:10" ht="7.5" customHeight="1" x14ac:dyDescent="0.35">
      <c r="A318" s="223"/>
      <c r="B318" s="69"/>
      <c r="C318" s="145"/>
      <c r="D318" s="152"/>
      <c r="E318" s="145"/>
      <c r="F318" s="145"/>
      <c r="G318" s="145"/>
      <c r="H318" s="145"/>
      <c r="I318" s="145"/>
      <c r="J318" s="127"/>
    </row>
    <row r="319" spans="1:10" ht="12.65" customHeight="1" x14ac:dyDescent="0.35">
      <c r="A319" s="223"/>
      <c r="B319" s="69"/>
      <c r="C319" s="145"/>
      <c r="D319" s="145"/>
      <c r="E319" s="145"/>
      <c r="F319" s="145"/>
      <c r="G319" s="145"/>
      <c r="H319" s="145"/>
      <c r="I319" s="145"/>
      <c r="J319" s="127"/>
    </row>
    <row r="320" spans="1:10" ht="42" customHeight="1" x14ac:dyDescent="0.35">
      <c r="A320" s="223"/>
      <c r="B320" s="258"/>
      <c r="C320" s="261" t="s">
        <v>15</v>
      </c>
      <c r="D320" s="261"/>
      <c r="E320" s="261"/>
      <c r="F320" s="261"/>
      <c r="G320" s="261"/>
      <c r="H320" s="261"/>
      <c r="I320" s="261"/>
      <c r="J320" s="265"/>
    </row>
    <row r="321" spans="1:10" ht="42" customHeight="1" x14ac:dyDescent="0.35">
      <c r="A321" s="223"/>
      <c r="B321" s="193"/>
      <c r="C321" s="19" t="s">
        <v>103</v>
      </c>
      <c r="D321" s="19" t="s">
        <v>1</v>
      </c>
      <c r="E321" s="19" t="s">
        <v>161</v>
      </c>
      <c r="F321" s="19" t="s">
        <v>162</v>
      </c>
      <c r="G321" s="19" t="s">
        <v>163</v>
      </c>
      <c r="H321" s="19" t="s">
        <v>164</v>
      </c>
      <c r="I321" s="251"/>
      <c r="J321" s="13"/>
    </row>
    <row r="322" spans="1:10" ht="18.75" customHeight="1" x14ac:dyDescent="0.35">
      <c r="A322" s="223"/>
      <c r="B322" s="69"/>
      <c r="C322" s="236" t="s">
        <v>133</v>
      </c>
      <c r="D322" s="237">
        <v>238</v>
      </c>
      <c r="E322" s="29">
        <f>4.09624</f>
        <v>4.0962399999999999</v>
      </c>
      <c r="F322" s="29">
        <f>134.14058</f>
        <v>134.14058</v>
      </c>
      <c r="G322" s="238">
        <f>D322-F322</f>
        <v>103.85942</v>
      </c>
      <c r="H322" s="29">
        <f>79.8451899999998</f>
        <v>79.845189999999803</v>
      </c>
      <c r="I322" s="242"/>
      <c r="J322" s="127"/>
    </row>
    <row r="323" spans="1:10" ht="17.5" customHeight="1" x14ac:dyDescent="0.35">
      <c r="A323" s="223"/>
      <c r="B323" s="69"/>
      <c r="C323" s="239" t="s">
        <v>134</v>
      </c>
      <c r="D323" s="240">
        <v>21237</v>
      </c>
      <c r="E323" s="29">
        <f>8.12253</f>
        <v>8.1225299999999994</v>
      </c>
      <c r="F323" s="29">
        <f>249.44204</f>
        <v>249.44203999999999</v>
      </c>
      <c r="G323" s="241">
        <f>D323-F323</f>
        <v>20987.557959999998</v>
      </c>
      <c r="H323" s="29">
        <f>247.451210000001</f>
        <v>247.451210000001</v>
      </c>
      <c r="I323" s="26"/>
      <c r="J323" s="127"/>
    </row>
    <row r="324" spans="1:10" ht="17.149999999999999" customHeight="1" x14ac:dyDescent="0.35">
      <c r="A324" s="223"/>
      <c r="B324" s="69"/>
      <c r="C324" s="310" t="s">
        <v>82</v>
      </c>
      <c r="D324" s="229">
        <f>D322+D323</f>
        <v>21475</v>
      </c>
      <c r="E324" s="39">
        <f>E323+E322</f>
        <v>12.218769999999999</v>
      </c>
      <c r="F324" s="39">
        <f>F323+F322</f>
        <v>383.58262000000002</v>
      </c>
      <c r="G324" s="39">
        <f>G323+G322</f>
        <v>21091.417379999999</v>
      </c>
      <c r="H324" s="39">
        <f>H323+H322</f>
        <v>327.2964000000008</v>
      </c>
      <c r="I324" s="26"/>
      <c r="J324" s="127"/>
    </row>
    <row r="325" spans="1:10" ht="22.5" customHeight="1" x14ac:dyDescent="0.35">
      <c r="A325" s="223"/>
      <c r="B325" s="69"/>
      <c r="C325" s="318" t="s">
        <v>156</v>
      </c>
      <c r="D325" s="318"/>
      <c r="E325" s="318"/>
      <c r="F325" s="318"/>
      <c r="G325" s="318"/>
      <c r="H325" s="318"/>
      <c r="I325" s="318"/>
      <c r="J325" s="319"/>
    </row>
    <row r="326" spans="1:10" ht="42" customHeight="1" x14ac:dyDescent="0.35">
      <c r="A326" s="223"/>
      <c r="B326" s="7"/>
      <c r="C326" s="207"/>
      <c r="D326" s="194"/>
      <c r="E326" s="207"/>
      <c r="F326" s="207"/>
      <c r="G326" s="207"/>
      <c r="H326" s="207"/>
      <c r="I326" s="207"/>
      <c r="J326" s="11"/>
    </row>
    <row r="327" spans="1:10" ht="42" customHeight="1" x14ac:dyDescent="0.35"/>
    <row r="328" spans="1:10" ht="14.15" customHeight="1" x14ac:dyDescent="0.35">
      <c r="A328" s="223"/>
      <c r="C328" s="145" t="s">
        <v>108</v>
      </c>
      <c r="D328" s="152"/>
    </row>
    <row r="329" spans="1:10" ht="0" hidden="1" customHeight="1" x14ac:dyDescent="0.35">
      <c r="A329" s="223"/>
      <c r="B329" s="120"/>
      <c r="C329" s="266"/>
      <c r="D329" s="16"/>
      <c r="E329" s="266"/>
      <c r="F329" s="266"/>
      <c r="G329" s="266"/>
      <c r="H329" s="266"/>
      <c r="I329" s="266"/>
      <c r="J329" s="58"/>
    </row>
    <row r="330" spans="1:10" ht="0" hidden="1" customHeight="1" x14ac:dyDescent="0.35">
      <c r="A330" s="223"/>
      <c r="B330" s="69"/>
      <c r="C330" s="233" t="s">
        <v>124</v>
      </c>
      <c r="D330" s="152"/>
      <c r="E330" s="145"/>
      <c r="G330" s="145"/>
      <c r="H330" s="145"/>
      <c r="I330" s="145"/>
      <c r="J330" s="127"/>
    </row>
    <row r="331" spans="1:10" ht="0" hidden="1" customHeight="1" x14ac:dyDescent="0.35">
      <c r="A331" s="223"/>
      <c r="B331" s="69"/>
      <c r="C331" s="145"/>
      <c r="D331" s="152"/>
      <c r="E331" s="145"/>
      <c r="G331" s="145"/>
      <c r="H331" s="145"/>
      <c r="I331" s="145"/>
      <c r="J331" s="127"/>
    </row>
    <row r="332" spans="1:10" ht="0" hidden="1" customHeight="1" x14ac:dyDescent="0.35">
      <c r="A332" s="223"/>
      <c r="B332" s="69"/>
      <c r="C332" s="210" t="s">
        <v>1</v>
      </c>
      <c r="D332" s="210" t="s">
        <v>125</v>
      </c>
      <c r="E332" s="212" t="s">
        <v>126</v>
      </c>
      <c r="F332" s="145"/>
      <c r="G332" s="145"/>
      <c r="H332" s="145"/>
      <c r="I332" s="145"/>
      <c r="J332" s="127"/>
    </row>
    <row r="333" spans="1:10" ht="0" hidden="1" customHeight="1" x14ac:dyDescent="0.35">
      <c r="A333" s="223"/>
      <c r="B333" s="69"/>
      <c r="C333" s="110" t="s">
        <v>6</v>
      </c>
      <c r="D333" s="114">
        <v>248</v>
      </c>
      <c r="E333" s="151">
        <v>22048</v>
      </c>
      <c r="F333" s="145"/>
      <c r="G333" s="145"/>
      <c r="H333" s="145"/>
      <c r="I333" s="145"/>
      <c r="J333" s="127"/>
    </row>
    <row r="334" spans="1:10" ht="0" hidden="1" customHeight="1" x14ac:dyDescent="0.35">
      <c r="A334" s="223"/>
      <c r="B334" s="69"/>
      <c r="C334" s="110" t="s">
        <v>86</v>
      </c>
      <c r="D334" s="114">
        <v>5644</v>
      </c>
      <c r="E334" s="151">
        <v>11686</v>
      </c>
      <c r="F334" s="221"/>
      <c r="G334" s="145"/>
      <c r="H334" s="145"/>
      <c r="I334" s="145"/>
      <c r="J334" s="127"/>
    </row>
    <row r="335" spans="1:10" ht="0" hidden="1" customHeight="1" x14ac:dyDescent="0.35">
      <c r="A335" s="223"/>
      <c r="B335" s="69"/>
      <c r="C335" s="110" t="s">
        <v>127</v>
      </c>
      <c r="D335" s="114"/>
      <c r="E335" s="151">
        <v>62128</v>
      </c>
      <c r="F335" s="145"/>
      <c r="G335" s="145"/>
      <c r="H335" s="145"/>
      <c r="I335" s="145"/>
      <c r="J335" s="127"/>
    </row>
    <row r="336" spans="1:10" ht="0" hidden="1" customHeight="1" x14ac:dyDescent="0.35">
      <c r="A336" s="223"/>
      <c r="B336" s="69"/>
      <c r="C336" s="172" t="s">
        <v>46</v>
      </c>
      <c r="D336" s="184">
        <v>5892</v>
      </c>
      <c r="E336" s="222">
        <f>E333+E334+E335</f>
        <v>95862</v>
      </c>
      <c r="F336" s="145"/>
      <c r="G336" s="145"/>
      <c r="H336" s="145"/>
      <c r="I336" s="145"/>
      <c r="J336" s="127"/>
    </row>
    <row r="337" spans="1:10" ht="0" hidden="1" customHeight="1" x14ac:dyDescent="0.35">
      <c r="A337" s="223"/>
      <c r="B337" s="69"/>
      <c r="C337" s="317" t="s">
        <v>128</v>
      </c>
      <c r="D337" s="317"/>
      <c r="E337" s="317"/>
      <c r="F337" s="317"/>
      <c r="G337" s="208"/>
      <c r="H337" s="208"/>
      <c r="I337" s="145"/>
      <c r="J337" s="127"/>
    </row>
    <row r="338" spans="1:10" ht="0" hidden="1" customHeight="1" x14ac:dyDescent="0.35">
      <c r="A338" s="223"/>
      <c r="B338" s="69"/>
      <c r="C338" s="208"/>
      <c r="D338" s="208"/>
      <c r="E338" s="208"/>
      <c r="F338" s="208"/>
      <c r="G338" s="208"/>
      <c r="H338" s="208"/>
      <c r="I338" s="145"/>
      <c r="J338" s="127"/>
    </row>
    <row r="339" spans="1:10" ht="0" hidden="1" customHeight="1" x14ac:dyDescent="0.35">
      <c r="A339" s="223"/>
      <c r="B339" s="69"/>
      <c r="C339" s="145"/>
      <c r="D339" s="152"/>
      <c r="E339" s="145"/>
      <c r="F339" s="145"/>
      <c r="G339" s="145"/>
      <c r="H339" s="145"/>
      <c r="I339" s="145"/>
      <c r="J339" s="127"/>
    </row>
    <row r="340" spans="1:10" ht="0" hidden="1" customHeight="1" x14ac:dyDescent="0.35">
      <c r="A340" s="223"/>
      <c r="B340" s="69"/>
      <c r="C340" s="145"/>
      <c r="D340" s="145"/>
      <c r="E340" s="145"/>
      <c r="F340" s="145"/>
      <c r="G340" s="145"/>
      <c r="H340" s="145"/>
      <c r="I340" s="145"/>
      <c r="J340" s="127"/>
    </row>
    <row r="341" spans="1:10" ht="0" hidden="1" customHeight="1" x14ac:dyDescent="0.35">
      <c r="A341" s="223"/>
      <c r="B341" s="258"/>
      <c r="C341" s="261" t="s">
        <v>15</v>
      </c>
      <c r="D341" s="261"/>
      <c r="E341" s="261"/>
      <c r="F341" s="261"/>
      <c r="G341" s="261"/>
      <c r="H341" s="261"/>
      <c r="I341" s="261"/>
      <c r="J341" s="265"/>
    </row>
    <row r="342" spans="1:10" ht="0" hidden="1" customHeight="1" x14ac:dyDescent="0.35">
      <c r="A342" s="223"/>
      <c r="B342" s="193"/>
      <c r="C342" s="19" t="s">
        <v>103</v>
      </c>
      <c r="D342" s="19" t="s">
        <v>1</v>
      </c>
      <c r="E342" s="250" t="s">
        <v>129</v>
      </c>
      <c r="F342" s="250" t="s">
        <v>130</v>
      </c>
      <c r="G342" s="250" t="s">
        <v>131</v>
      </c>
      <c r="H342" s="224" t="s">
        <v>132</v>
      </c>
      <c r="I342" s="251"/>
      <c r="J342" s="13"/>
    </row>
    <row r="343" spans="1:10" ht="0" hidden="1" customHeight="1" x14ac:dyDescent="0.35">
      <c r="A343" s="223"/>
      <c r="B343" s="69"/>
      <c r="C343" s="225" t="s">
        <v>133</v>
      </c>
      <c r="D343" s="226">
        <v>248</v>
      </c>
      <c r="E343" s="227"/>
      <c r="F343" s="227"/>
      <c r="G343" s="294">
        <f>D343-F343</f>
        <v>248</v>
      </c>
      <c r="H343" s="227"/>
      <c r="I343" s="26"/>
      <c r="J343" s="127"/>
    </row>
    <row r="344" spans="1:10" ht="0" hidden="1" customHeight="1" x14ac:dyDescent="0.35">
      <c r="A344" s="223"/>
      <c r="B344" s="69"/>
      <c r="C344" s="291" t="s">
        <v>134</v>
      </c>
      <c r="D344" s="228">
        <v>22048</v>
      </c>
      <c r="E344" s="227"/>
      <c r="F344" s="227"/>
      <c r="G344" s="294">
        <f>D344-F344</f>
        <v>22048</v>
      </c>
      <c r="H344" s="227"/>
      <c r="I344" s="26"/>
      <c r="J344" s="127"/>
    </row>
    <row r="345" spans="1:10" ht="0" hidden="1" customHeight="1" x14ac:dyDescent="0.35">
      <c r="A345" s="223"/>
      <c r="B345" s="69"/>
      <c r="C345" s="310" t="s">
        <v>82</v>
      </c>
      <c r="D345" s="229">
        <f>D343+D344</f>
        <v>22296</v>
      </c>
      <c r="E345" s="39">
        <f>E344+E343</f>
        <v>0</v>
      </c>
      <c r="F345" s="39">
        <f>F344+F343</f>
        <v>0</v>
      </c>
      <c r="G345" s="39">
        <f>G344+G343</f>
        <v>22296</v>
      </c>
      <c r="H345" s="39">
        <f>H344+H343</f>
        <v>0</v>
      </c>
      <c r="I345" s="26"/>
      <c r="J345" s="127"/>
    </row>
    <row r="346" spans="1:10" ht="0" hidden="1" customHeight="1" x14ac:dyDescent="0.35">
      <c r="A346" s="223"/>
      <c r="B346" s="69"/>
      <c r="C346" s="318" t="s">
        <v>135</v>
      </c>
      <c r="D346" s="318"/>
      <c r="E346" s="318"/>
      <c r="F346" s="318"/>
      <c r="G346" s="318"/>
      <c r="H346" s="318"/>
      <c r="I346" s="318"/>
      <c r="J346" s="319"/>
    </row>
    <row r="347" spans="1:10" ht="0" hidden="1" customHeight="1" x14ac:dyDescent="0.35">
      <c r="A347" s="223"/>
      <c r="B347" s="7"/>
      <c r="C347" s="207"/>
      <c r="D347" s="194"/>
      <c r="E347" s="207"/>
      <c r="F347" s="207"/>
      <c r="G347" s="207"/>
      <c r="H347" s="207"/>
      <c r="I347" s="207"/>
      <c r="J347" s="11"/>
    </row>
    <row r="348" spans="1:10" ht="0" hidden="1" customHeight="1" x14ac:dyDescent="0.35"/>
    <row r="349" spans="1:10" ht="0" hidden="1" customHeight="1" x14ac:dyDescent="0.35"/>
    <row r="350" spans="1:10" ht="0" hidden="1" customHeight="1" x14ac:dyDescent="0.35">
      <c r="A350" s="223"/>
      <c r="B350" s="7"/>
      <c r="C350" s="207"/>
      <c r="D350" s="194"/>
      <c r="E350" s="207"/>
      <c r="F350" s="207"/>
      <c r="G350" s="207"/>
      <c r="H350" s="207"/>
      <c r="I350" s="207"/>
      <c r="J350" s="11"/>
    </row>
    <row r="351" spans="1:10" ht="0" hidden="1" customHeight="1" x14ac:dyDescent="0.35"/>
    <row r="352" spans="1:10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13" ht="16.5" customHeight="1" x14ac:dyDescent="0.35"/>
  </sheetData>
  <mergeCells count="19">
    <mergeCell ref="B2:J2"/>
    <mergeCell ref="B9:J9"/>
    <mergeCell ref="C11:D11"/>
    <mergeCell ref="E11:F11"/>
    <mergeCell ref="G11:H11"/>
    <mergeCell ref="C337:F337"/>
    <mergeCell ref="C346:J346"/>
    <mergeCell ref="C316:F316"/>
    <mergeCell ref="C325:J325"/>
    <mergeCell ref="C17:H17"/>
    <mergeCell ref="C305:J305"/>
    <mergeCell ref="C49:H49"/>
    <mergeCell ref="E52:E56"/>
    <mergeCell ref="H52:H56"/>
    <mergeCell ref="C68:D68"/>
    <mergeCell ref="E68:F68"/>
    <mergeCell ref="G68:H68"/>
    <mergeCell ref="C288:F288"/>
    <mergeCell ref="D52:D56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/>
  <headerFooter scaleWithDoc="0" alignWithMargins="0">
    <oddHeader>&amp;LForeløpig statistikk&amp;CPr. uke 19&amp;R11.05.2026</oddHeader>
    <oddFooter>&amp;LFiskeridirektoratet&amp;CSeksjon fiskeriregulering&amp;R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2026-05-11T09:12:13Z</dcterms:modified>
</cp:coreProperties>
</file>